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8580" activeTab="0"/>
  </bookViews>
  <sheets>
    <sheet name="Sheet1" sheetId="1" r:id="rId1"/>
    <sheet name="Sheet2" sheetId="2" r:id="rId2"/>
    <sheet name="Sheet3" sheetId="3" r:id="rId3"/>
    <sheet name="Sheet5" sheetId="4" r:id="rId4"/>
    <sheet name="Sheet4" sheetId="5" r:id="rId5"/>
  </sheets>
  <definedNames>
    <definedName name="solver_adj" localSheetId="1" hidden="1">'Sheet2'!$E$9,'Sheet2'!$E$8</definedName>
    <definedName name="solver_cvg" localSheetId="1" hidden="1">0.0000000001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'Sheet2'!$B$16</definedName>
    <definedName name="solver_lhs2" localSheetId="1" hidden="1">'Sheet2'!$B$17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2</definedName>
    <definedName name="solver_opt" localSheetId="1" hidden="1">'Sheet2'!$E$16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'Sheet2'!$D$16</definedName>
    <definedName name="solver_rhs2" localSheetId="1" hidden="1">'Sheet2'!$D$17</definedName>
    <definedName name="solver_scl" localSheetId="1" hidden="1">2</definedName>
    <definedName name="solver_sho" localSheetId="1" hidden="1">1</definedName>
    <definedName name="solver_tim" localSheetId="1" hidden="1">100</definedName>
    <definedName name="solver_tol" localSheetId="1" hidden="1">0.000001</definedName>
    <definedName name="solver_typ" localSheetId="1" hidden="1">2</definedName>
    <definedName name="solver_val" localSheetId="1" hidden="1">0</definedName>
    <definedName name="w">'Sheet2'!$B$2</definedName>
    <definedName name="ΔΗ1">'Sheet2'!$E$8</definedName>
    <definedName name="ΔΗ2">'Sheet2'!$E$9</definedName>
    <definedName name="ΔΗπ1">'Sheet2'!$E$10</definedName>
    <definedName name="ΔΗπ2">'Sheet2'!$E$11</definedName>
    <definedName name="ΔΗπ3">'Sheet2'!$E$12</definedName>
    <definedName name="ΔΗπ4">'Sheet2'!$E$13</definedName>
    <definedName name="Η0">'Sheet2'!$E$3</definedName>
    <definedName name="Ηπ1">'Sheet2'!$E$4</definedName>
    <definedName name="Ηπ2">'Sheet2'!$E$5</definedName>
    <definedName name="Ηπ3">'Sheet2'!$E$6</definedName>
    <definedName name="Ηπ4">'Sheet2'!$E$7</definedName>
    <definedName name="Φ1">'Sheet2'!$B$5</definedName>
    <definedName name="φ11">'Sheet2'!#REF!</definedName>
    <definedName name="φ12">'Sheet2'!#REF!</definedName>
    <definedName name="φ13">'Sheet2'!#REF!</definedName>
    <definedName name="φ14">'Sheet2'!#REF!</definedName>
    <definedName name="φ15">'Sheet2'!#REF!</definedName>
    <definedName name="φ16">'Sheet2'!#REF!</definedName>
    <definedName name="φ17">'Sheet2'!#REF!</definedName>
    <definedName name="φ18">'Sheet2'!#REF!</definedName>
    <definedName name="Φ2">'Sheet2'!$B$6</definedName>
    <definedName name="Φπ1">'Sheet2'!$B$7</definedName>
    <definedName name="Φπ2">'Sheet2'!$B$8</definedName>
    <definedName name="Φπ3">'Sheet2'!$B$9</definedName>
    <definedName name="Φπ4">'Sheet2'!$B$10</definedName>
  </definedNames>
  <calcPr fullCalcOnLoad="1"/>
</workbook>
</file>

<file path=xl/sharedStrings.xml><?xml version="1.0" encoding="utf-8"?>
<sst xmlns="http://schemas.openxmlformats.org/spreadsheetml/2006/main" count="173" uniqueCount="109">
  <si>
    <t>w=</t>
  </si>
  <si>
    <t>Φ1=</t>
  </si>
  <si>
    <t>Φ2=</t>
  </si>
  <si>
    <t>Φπ1=</t>
  </si>
  <si>
    <t>Φπ2=</t>
  </si>
  <si>
    <t>Φπ3=</t>
  </si>
  <si>
    <t>Η0=</t>
  </si>
  <si>
    <t>Ηπ3=</t>
  </si>
  <si>
    <t>Ηπ2=</t>
  </si>
  <si>
    <t>Ηπ1=</t>
  </si>
  <si>
    <t>=</t>
  </si>
  <si>
    <t>0-π1=</t>
  </si>
  <si>
    <t>0-π2=</t>
  </si>
  <si>
    <t>0-π3=</t>
  </si>
  <si>
    <t>Εξισωσεις</t>
  </si>
  <si>
    <t>ΔΗ1</t>
  </si>
  <si>
    <t>ΔΗ2</t>
  </si>
  <si>
    <t>f=</t>
  </si>
  <si>
    <t>x=</t>
  </si>
  <si>
    <t>y=</t>
  </si>
  <si>
    <t>l=</t>
  </si>
  <si>
    <t>m</t>
  </si>
  <si>
    <t>Q=</t>
  </si>
  <si>
    <t>l/s</t>
  </si>
  <si>
    <t>m^3/s</t>
  </si>
  <si>
    <t>A=</t>
  </si>
  <si>
    <t>ν=</t>
  </si>
  <si>
    <t>C0=</t>
  </si>
  <si>
    <t>1.6465/f^0.2</t>
  </si>
  <si>
    <t>z=</t>
  </si>
  <si>
    <t>ν/(yν+2+x)</t>
  </si>
  <si>
    <t>ω=</t>
  </si>
  <si>
    <t>(yν+2+x)/(2+x)</t>
  </si>
  <si>
    <t>δh=</t>
  </si>
  <si>
    <t>Φ=</t>
  </si>
  <si>
    <t>(A/C0^ν)^1/ω*l*Q^z</t>
  </si>
  <si>
    <t>D=</t>
  </si>
  <si>
    <t>1/C0*(Q*(l/δh)^y)^(1/(x+2))</t>
  </si>
  <si>
    <t>Φπ4=</t>
  </si>
  <si>
    <t>0-1</t>
  </si>
  <si>
    <t>l</t>
  </si>
  <si>
    <t>q</t>
  </si>
  <si>
    <t>1-π1</t>
  </si>
  <si>
    <t>1-π2</t>
  </si>
  <si>
    <t>1-2</t>
  </si>
  <si>
    <t>2-π3</t>
  </si>
  <si>
    <t>2-π4</t>
  </si>
  <si>
    <t>0-π4=</t>
  </si>
  <si>
    <t>Ηπ4=</t>
  </si>
  <si>
    <t>περατα</t>
  </si>
  <si>
    <t xml:space="preserve">Ελεγχος πιεσεων </t>
  </si>
  <si>
    <t>Η0</t>
  </si>
  <si>
    <t>ΔΗπ1</t>
  </si>
  <si>
    <t>ΔΗπ2</t>
  </si>
  <si>
    <t>ΔΗπ3</t>
  </si>
  <si>
    <t>ΔΗπ4</t>
  </si>
  <si>
    <t>D1</t>
  </si>
  <si>
    <t>D2</t>
  </si>
  <si>
    <t>Dπ1</t>
  </si>
  <si>
    <t>Dπ2</t>
  </si>
  <si>
    <t>Dπ3</t>
  </si>
  <si>
    <t>Dπ4</t>
  </si>
  <si>
    <t>ΛΥΣΗ ΤΖΙΜΟΠΟΥΛΟΥ</t>
  </si>
  <si>
    <t>0-π1</t>
  </si>
  <si>
    <t>κλιση</t>
  </si>
  <si>
    <t>Η0=40</t>
  </si>
  <si>
    <t>0-π2</t>
  </si>
  <si>
    <t>0-π3</t>
  </si>
  <si>
    <t>0-π4</t>
  </si>
  <si>
    <t>ελαχιστη</t>
  </si>
  <si>
    <t>Sum=</t>
  </si>
  <si>
    <t>Δh1</t>
  </si>
  <si>
    <t>Δh2</t>
  </si>
  <si>
    <t>Δhπ4</t>
  </si>
  <si>
    <t>αγωγοι</t>
  </si>
  <si>
    <t>Δη=</t>
  </si>
  <si>
    <t>Q</t>
  </si>
  <si>
    <t>Δη</t>
  </si>
  <si>
    <t>Δhπ1=</t>
  </si>
  <si>
    <t>Δhπ2=</t>
  </si>
  <si>
    <t>Δhπ3=</t>
  </si>
  <si>
    <t>Δhπ4=</t>
  </si>
  <si>
    <t>Δh1=</t>
  </si>
  <si>
    <t>Δh2=</t>
  </si>
  <si>
    <t>κοστος</t>
  </si>
  <si>
    <t>κοστος/χρονο</t>
  </si>
  <si>
    <t>κοστος αντλιο</t>
  </si>
  <si>
    <t>ε=</t>
  </si>
  <si>
    <t>N=</t>
  </si>
  <si>
    <t>β=</t>
  </si>
  <si>
    <t>n=</t>
  </si>
  <si>
    <t>Δhπ3</t>
  </si>
  <si>
    <t>Δhπ1</t>
  </si>
  <si>
    <t>Δhπ2</t>
  </si>
  <si>
    <t>κοστος/χρ</t>
  </si>
  <si>
    <t>κοστος αντλ</t>
  </si>
  <si>
    <t>συνολο</t>
  </si>
  <si>
    <t>Θεωριτική</t>
  </si>
  <si>
    <t>για αντλια</t>
  </si>
  <si>
    <t>στοιχεια αγογων</t>
  </si>
  <si>
    <t>Η=45</t>
  </si>
  <si>
    <t>Η=50</t>
  </si>
  <si>
    <t>Η=55</t>
  </si>
  <si>
    <t>Η=60</t>
  </si>
  <si>
    <t>Η=65</t>
  </si>
  <si>
    <t>Η=51</t>
  </si>
  <si>
    <t>Η=53</t>
  </si>
  <si>
    <t>H=50</t>
  </si>
  <si>
    <t>H=55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</si>
</sst>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i/>
      <u val="single"/>
      <sz val="10"/>
      <color indexed="10"/>
      <name val="Arial"/>
      <family val="2"/>
    </font>
    <font>
      <sz val="10"/>
      <color indexed="53"/>
      <name val="Arial"/>
      <family val="0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4.75"/>
      <name val="Arial"/>
      <family val="0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lightVertical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175"/>
          <c:h val="0.91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6"/>
            <c:dispEq val="0"/>
            <c:dispRSqr val="0"/>
          </c:trendline>
          <c:xVal>
            <c:numRef>
              <c:f>Sheet5!$Q$8:$Q$14</c:f>
              <c:numCache>
                <c:ptCount val="7"/>
                <c:pt idx="0">
                  <c:v>45</c:v>
                </c:pt>
                <c:pt idx="1">
                  <c:v>50</c:v>
                </c:pt>
                <c:pt idx="2">
                  <c:v>51</c:v>
                </c:pt>
                <c:pt idx="3">
                  <c:v>53</c:v>
                </c:pt>
                <c:pt idx="4">
                  <c:v>55</c:v>
                </c:pt>
                <c:pt idx="5">
                  <c:v>60</c:v>
                </c:pt>
                <c:pt idx="6">
                  <c:v>65</c:v>
                </c:pt>
              </c:numCache>
            </c:numRef>
          </c:xVal>
          <c:yVal>
            <c:numRef>
              <c:f>Sheet5!$R$8:$R$14</c:f>
              <c:numCache>
                <c:ptCount val="7"/>
                <c:pt idx="0">
                  <c:v>4997.197853611643</c:v>
                </c:pt>
                <c:pt idx="1">
                  <c:v>4919.195833071179</c:v>
                </c:pt>
                <c:pt idx="2">
                  <c:v>4915.355303850542</c:v>
                </c:pt>
                <c:pt idx="3">
                  <c:v>4916.1191478916</c:v>
                </c:pt>
                <c:pt idx="4">
                  <c:v>4926.334420832946</c:v>
                </c:pt>
                <c:pt idx="5">
                  <c:v>4983.102676229881</c:v>
                </c:pt>
                <c:pt idx="6">
                  <c:v>5071.942829332171</c:v>
                </c:pt>
              </c:numCache>
            </c:numRef>
          </c:yVal>
          <c:smooth val="0"/>
        </c:ser>
        <c:axId val="2457552"/>
        <c:axId val="22117969"/>
      </c:scatterChart>
      <c:valAx>
        <c:axId val="245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17969"/>
        <c:crosses val="autoZero"/>
        <c:crossBetween val="midCat"/>
        <c:dispUnits/>
      </c:valAx>
      <c:valAx>
        <c:axId val="22117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75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85"/>
          <c:w val="0.9415"/>
          <c:h val="0.9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Sheet4!$P$6:$P$10</c:f>
              <c:numCache>
                <c:ptCount val="5"/>
                <c:pt idx="0">
                  <c:v>45</c:v>
                </c:pt>
                <c:pt idx="1">
                  <c:v>50</c:v>
                </c:pt>
                <c:pt idx="2">
                  <c:v>51</c:v>
                </c:pt>
                <c:pt idx="3">
                  <c:v>53</c:v>
                </c:pt>
                <c:pt idx="4">
                  <c:v>55</c:v>
                </c:pt>
              </c:numCache>
            </c:numRef>
          </c:xVal>
          <c:yVal>
            <c:numRef>
              <c:f>Sheet4!$Q$6:$Q$10</c:f>
              <c:numCache>
                <c:ptCount val="5"/>
                <c:pt idx="0">
                  <c:v>5022.721195759268</c:v>
                </c:pt>
                <c:pt idx="1">
                  <c:v>4942.278524533496</c:v>
                </c:pt>
                <c:pt idx="2">
                  <c:v>4938.047855325135</c:v>
                </c:pt>
                <c:pt idx="3">
                  <c:v>4938.101787252917</c:v>
                </c:pt>
                <c:pt idx="4">
                  <c:v>4947.68590290944</c:v>
                </c:pt>
              </c:numCache>
            </c:numRef>
          </c:yVal>
          <c:smooth val="0"/>
        </c:ser>
        <c:axId val="64843994"/>
        <c:axId val="46725035"/>
      </c:scatterChart>
      <c:valAx>
        <c:axId val="64843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25035"/>
        <c:crosses val="autoZero"/>
        <c:crossBetween val="midCat"/>
        <c:dispUnits/>
      </c:valAx>
      <c:valAx>
        <c:axId val="46725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439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19</xdr:row>
      <xdr:rowOff>76200</xdr:rowOff>
    </xdr:from>
    <xdr:to>
      <xdr:col>22</xdr:col>
      <xdr:colOff>533400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11639550" y="3248025"/>
        <a:ext cx="287655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19</xdr:row>
      <xdr:rowOff>76200</xdr:rowOff>
    </xdr:from>
    <xdr:to>
      <xdr:col>18</xdr:col>
      <xdr:colOff>533400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8629650" y="3152775"/>
        <a:ext cx="287655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20"/>
  <sheetViews>
    <sheetView tabSelected="1" workbookViewId="0" topLeftCell="A1">
      <selection activeCell="D7" sqref="D7"/>
    </sheetView>
  </sheetViews>
  <sheetFormatPr defaultColWidth="9.140625" defaultRowHeight="12.75"/>
  <cols>
    <col min="4" max="4" width="22.8515625" style="0" customWidth="1"/>
  </cols>
  <sheetData>
    <row r="2" spans="8:9" ht="12.75">
      <c r="H2" t="s">
        <v>40</v>
      </c>
      <c r="I2" t="s">
        <v>41</v>
      </c>
    </row>
    <row r="3" spans="3:9" ht="12.75">
      <c r="C3" t="s">
        <v>17</v>
      </c>
      <c r="D3">
        <v>0.013</v>
      </c>
      <c r="G3" t="s">
        <v>39</v>
      </c>
      <c r="H3">
        <v>500</v>
      </c>
      <c r="I3">
        <v>24</v>
      </c>
    </row>
    <row r="4" spans="3:9" ht="12.75">
      <c r="C4" t="s">
        <v>18</v>
      </c>
      <c r="D4">
        <v>0.5</v>
      </c>
      <c r="G4" t="s">
        <v>42</v>
      </c>
      <c r="H4">
        <v>600</v>
      </c>
      <c r="I4">
        <v>6</v>
      </c>
    </row>
    <row r="5" spans="3:9" ht="12.75">
      <c r="C5" t="s">
        <v>19</v>
      </c>
      <c r="D5">
        <v>0.5</v>
      </c>
      <c r="G5" t="s">
        <v>43</v>
      </c>
      <c r="H5">
        <v>400</v>
      </c>
      <c r="I5">
        <v>6</v>
      </c>
    </row>
    <row r="6" spans="3:9" ht="12.75">
      <c r="C6" t="s">
        <v>20</v>
      </c>
      <c r="D6" s="5">
        <v>500</v>
      </c>
      <c r="E6" t="s">
        <v>21</v>
      </c>
      <c r="G6" s="6" t="s">
        <v>44</v>
      </c>
      <c r="H6">
        <v>600</v>
      </c>
      <c r="I6">
        <v>12</v>
      </c>
    </row>
    <row r="7" spans="3:9" ht="12.75">
      <c r="C7" t="s">
        <v>22</v>
      </c>
      <c r="D7" s="5">
        <v>24</v>
      </c>
      <c r="E7" t="s">
        <v>23</v>
      </c>
      <c r="G7" t="s">
        <v>45</v>
      </c>
      <c r="H7">
        <v>700</v>
      </c>
      <c r="I7">
        <v>6</v>
      </c>
    </row>
    <row r="8" spans="4:9" ht="12.75">
      <c r="D8">
        <f>D7/1000</f>
        <v>0.024</v>
      </c>
      <c r="E8" t="s">
        <v>24</v>
      </c>
      <c r="G8" t="s">
        <v>46</v>
      </c>
      <c r="H8">
        <v>350</v>
      </c>
      <c r="I8">
        <v>6</v>
      </c>
    </row>
    <row r="9" spans="3:4" ht="12.75">
      <c r="C9" t="s">
        <v>25</v>
      </c>
      <c r="D9">
        <v>452.55706373882975</v>
      </c>
    </row>
    <row r="10" spans="3:4" ht="12.75">
      <c r="C10" t="s">
        <v>26</v>
      </c>
      <c r="D10">
        <v>1.7469</v>
      </c>
    </row>
    <row r="13" spans="3:5" ht="12.75">
      <c r="C13" t="s">
        <v>27</v>
      </c>
      <c r="D13" t="s">
        <v>28</v>
      </c>
      <c r="E13">
        <f>1.6465/(D3^0.2)</f>
        <v>3.9243981705679936</v>
      </c>
    </row>
    <row r="14" spans="3:5" ht="12.75">
      <c r="C14" t="s">
        <v>29</v>
      </c>
      <c r="D14" t="s">
        <v>30</v>
      </c>
      <c r="E14">
        <f>D10/(D5*D10+2+D4)</f>
        <v>0.5178378218144629</v>
      </c>
    </row>
    <row r="15" spans="3:5" ht="12.75">
      <c r="C15" t="s">
        <v>31</v>
      </c>
      <c r="D15" t="s">
        <v>32</v>
      </c>
      <c r="E15">
        <f>(D5*D10+2+D4)/(2+D4)</f>
        <v>1.34938</v>
      </c>
    </row>
    <row r="16" spans="3:5" ht="12.75">
      <c r="C16" t="s">
        <v>34</v>
      </c>
      <c r="D16" t="s">
        <v>35</v>
      </c>
      <c r="E16">
        <f>((D9/(E13^D10))^(1/E15))*D6*(D8^E14)</f>
        <v>1146.980522278517</v>
      </c>
    </row>
    <row r="19" spans="3:5" ht="12.75">
      <c r="C19" t="s">
        <v>33</v>
      </c>
      <c r="E19">
        <v>0.6976069746403404</v>
      </c>
    </row>
    <row r="20" spans="3:5" ht="12.75">
      <c r="C20" t="s">
        <v>36</v>
      </c>
      <c r="D20" t="s">
        <v>37</v>
      </c>
      <c r="E20">
        <f>(1/E13)*((D8*((D6/E19)^D5))^(1/(D4+2)))</f>
        <v>0.2134928182120358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B5" sqref="B5"/>
    </sheetView>
  </sheetViews>
  <sheetFormatPr defaultColWidth="9.140625" defaultRowHeight="12.75"/>
  <cols>
    <col min="2" max="2" width="20.00390625" style="0" bestFit="1" customWidth="1"/>
    <col min="4" max="4" width="14.140625" style="0" customWidth="1"/>
    <col min="5" max="5" width="15.28125" style="0" bestFit="1" customWidth="1"/>
    <col min="6" max="6" width="5.28125" style="11" customWidth="1"/>
    <col min="7" max="8" width="5.28125" style="12" customWidth="1"/>
    <col min="9" max="9" width="10.140625" style="12" customWidth="1"/>
    <col min="10" max="10" width="7.57421875" style="0" customWidth="1"/>
    <col min="11" max="11" width="14.8515625" style="0" customWidth="1"/>
    <col min="12" max="12" width="17.421875" style="0" customWidth="1"/>
    <col min="14" max="14" width="11.140625" style="0" customWidth="1"/>
    <col min="15" max="15" width="10.7109375" style="0" customWidth="1"/>
  </cols>
  <sheetData>
    <row r="1" ht="12.75">
      <c r="K1" t="s">
        <v>105</v>
      </c>
    </row>
    <row r="2" spans="1:15" ht="12.75">
      <c r="A2" t="s">
        <v>0</v>
      </c>
      <c r="B2" s="2">
        <v>1.34938</v>
      </c>
      <c r="G2" s="12" t="s">
        <v>40</v>
      </c>
      <c r="H2" s="12" t="s">
        <v>76</v>
      </c>
      <c r="I2" s="12" t="s">
        <v>77</v>
      </c>
      <c r="K2" t="s">
        <v>74</v>
      </c>
      <c r="L2" t="s">
        <v>84</v>
      </c>
      <c r="M2" t="s">
        <v>85</v>
      </c>
      <c r="O2" t="s">
        <v>86</v>
      </c>
    </row>
    <row r="3" spans="2:12" ht="12.75">
      <c r="B3" s="2"/>
      <c r="D3" t="s">
        <v>6</v>
      </c>
      <c r="E3" s="8">
        <v>51</v>
      </c>
      <c r="G3" s="12">
        <v>500</v>
      </c>
      <c r="H3" s="12">
        <v>24</v>
      </c>
      <c r="I3" s="12">
        <v>6.641436757118632</v>
      </c>
      <c r="J3" t="s">
        <v>56</v>
      </c>
      <c r="K3" s="9">
        <f>(1/Sheet1!$E$13)*((H3/1000)*(G3/I3)^Sheet1!$D$5)^(1/(Sheet1!$D$4+2))</f>
        <v>0.13603574039612845</v>
      </c>
      <c r="L3" s="4">
        <f>G3*Sheet1!$D$9*(K3^Sheet1!$D$10)</f>
        <v>6937.800720263533</v>
      </c>
    </row>
    <row r="4" spans="2:12" ht="12.75">
      <c r="B4" s="2"/>
      <c r="D4" t="s">
        <v>9</v>
      </c>
      <c r="E4" s="2">
        <v>30</v>
      </c>
      <c r="G4" s="12">
        <v>600</v>
      </c>
      <c r="H4" s="12">
        <v>12</v>
      </c>
      <c r="I4" s="12">
        <v>7.033690006647542</v>
      </c>
      <c r="J4" t="s">
        <v>57</v>
      </c>
      <c r="K4" s="9">
        <f>(1/Sheet1!$E$13)*((H4/1000)*(G4/I4)^Sheet1!$D$5)^(1/(Sheet1!$D$4+2))</f>
        <v>0.10570439360254115</v>
      </c>
      <c r="L4" s="4">
        <f>G4*Sheet1!$D$9*(K4^Sheet1!$D$10)</f>
        <v>5358.123610058793</v>
      </c>
    </row>
    <row r="5" spans="1:12" ht="12.75">
      <c r="A5" t="s">
        <v>1</v>
      </c>
      <c r="B5" s="2">
        <v>1146.980522278517</v>
      </c>
      <c r="D5" t="s">
        <v>8</v>
      </c>
      <c r="E5" s="2">
        <v>30</v>
      </c>
      <c r="G5" s="12">
        <v>600</v>
      </c>
      <c r="H5" s="12">
        <v>6</v>
      </c>
      <c r="I5" s="12">
        <v>14.358563242881367</v>
      </c>
      <c r="J5" t="s">
        <v>58</v>
      </c>
      <c r="K5" s="9">
        <f>(1/Sheet1!$E$13)*((H5/1000)*(G5/I5)^Sheet1!$D$5)^(1/(Sheet1!$D$4+2))</f>
        <v>0.06945371627217545</v>
      </c>
      <c r="L5" s="4">
        <f>G5*Sheet1!$D$9*(K5^Sheet1!$D$10)</f>
        <v>2572.6603152840466</v>
      </c>
    </row>
    <row r="6" spans="1:12" ht="12.75">
      <c r="A6" t="s">
        <v>2</v>
      </c>
      <c r="B6" s="2">
        <v>961.2858988714199</v>
      </c>
      <c r="D6" t="s">
        <v>7</v>
      </c>
      <c r="E6" s="2">
        <f>30</f>
        <v>30</v>
      </c>
      <c r="G6" s="12">
        <v>400</v>
      </c>
      <c r="H6" s="12">
        <v>6</v>
      </c>
      <c r="I6" s="12">
        <v>14.358563242881367</v>
      </c>
      <c r="J6" t="s">
        <v>59</v>
      </c>
      <c r="K6" s="9">
        <f>(1/Sheet1!$E$13)*((H6/1000)*(G6/I6)^Sheet1!$D$5)^(1/(Sheet1!$D$4+2))</f>
        <v>0.0640438212563802</v>
      </c>
      <c r="L6" s="4">
        <f>G6*Sheet1!$D$9*(K6^Sheet1!$D$10)</f>
        <v>1488.5671277999227</v>
      </c>
    </row>
    <row r="7" spans="1:12" ht="12.75">
      <c r="A7" t="s">
        <v>3</v>
      </c>
      <c r="B7" s="2">
        <v>671.3791569983355</v>
      </c>
      <c r="D7" t="s">
        <v>48</v>
      </c>
      <c r="E7" s="2">
        <v>30</v>
      </c>
      <c r="G7" s="12">
        <v>700</v>
      </c>
      <c r="H7" s="12">
        <v>6</v>
      </c>
      <c r="I7" s="12">
        <v>7.324873236233825</v>
      </c>
      <c r="J7" t="s">
        <v>60</v>
      </c>
      <c r="K7" s="9">
        <f>(1/Sheet1!$E$13)*((H7/1000)*(G7/I7)^Sheet1!$D$5)^(1/(Sheet1!$D$4+2))</f>
        <v>0.08194963449865128</v>
      </c>
      <c r="L7" s="4">
        <f>G7*Sheet1!$D$9*(K7^Sheet1!$D$10)</f>
        <v>4007.252226167312</v>
      </c>
    </row>
    <row r="8" spans="1:12" ht="12.75">
      <c r="A8" t="s">
        <v>4</v>
      </c>
      <c r="B8" s="2">
        <v>447.58610466555695</v>
      </c>
      <c r="D8" s="5" t="s">
        <v>82</v>
      </c>
      <c r="E8" s="7">
        <v>6.641436757118632</v>
      </c>
      <c r="G8" s="12">
        <v>350</v>
      </c>
      <c r="H8" s="12">
        <v>6</v>
      </c>
      <c r="I8" s="12">
        <v>7.324873236233825</v>
      </c>
      <c r="J8" t="s">
        <v>61</v>
      </c>
      <c r="K8" s="9">
        <f>(1/Sheet1!$E$13)*((H8/1000)*(G8/I8)^Sheet1!$D$5)^(1/(Sheet1!$D$4+2))</f>
        <v>0.07134130047471236</v>
      </c>
      <c r="L8" s="4">
        <f>G8*Sheet1!$D$9*(K8^Sheet1!$D$10)</f>
        <v>1572.6889062763896</v>
      </c>
    </row>
    <row r="9" spans="1:16" ht="12.75">
      <c r="A9" t="s">
        <v>5</v>
      </c>
      <c r="B9" s="2">
        <v>783.2756831647246</v>
      </c>
      <c r="D9" s="5" t="s">
        <v>83</v>
      </c>
      <c r="E9" s="7">
        <v>7.033690006647542</v>
      </c>
      <c r="L9" s="13">
        <f>SUM(L3:L8)</f>
        <v>21937.09290585</v>
      </c>
      <c r="M9" s="5">
        <f>0.124143657551943*L9</f>
        <v>2723.3509493890006</v>
      </c>
      <c r="O9" s="5">
        <f>(9810*(24/1000)*51/(M23*1000))*M24*M22</f>
        <v>2192.0043544615387</v>
      </c>
      <c r="P9" s="15">
        <f>SUM(M9,O9)</f>
        <v>4915.35530385054</v>
      </c>
    </row>
    <row r="10" spans="1:12" ht="12.75">
      <c r="A10" t="s">
        <v>38</v>
      </c>
      <c r="B10" s="2">
        <v>391.6378415823623</v>
      </c>
      <c r="D10" t="s">
        <v>78</v>
      </c>
      <c r="E10" s="2">
        <f>Η0-Ηπ1-ΔΗ1</f>
        <v>14.358563242881367</v>
      </c>
      <c r="L10" s="4"/>
    </row>
    <row r="11" spans="4:5" ht="12.75">
      <c r="D11" t="s">
        <v>79</v>
      </c>
      <c r="E11" s="2">
        <f>Η0-Ηπ2-ΔΗ1</f>
        <v>14.358563242881367</v>
      </c>
    </row>
    <row r="12" spans="4:5" ht="12.75">
      <c r="D12" t="s">
        <v>80</v>
      </c>
      <c r="E12" s="2">
        <f>Η0-Ηπ3-ΔΗ1-ΔΗ2</f>
        <v>7.324873236233825</v>
      </c>
    </row>
    <row r="13" spans="4:5" ht="12.75">
      <c r="D13" t="s">
        <v>81</v>
      </c>
      <c r="E13" s="2">
        <f>Η0-Ηπ4-ΔΗ1-ΔΗ2</f>
        <v>7.324873236233825</v>
      </c>
    </row>
    <row r="14" ht="12.75">
      <c r="K14">
        <v>3.9243981705679936</v>
      </c>
    </row>
    <row r="15" spans="1:2" ht="12.75">
      <c r="A15" s="1"/>
      <c r="B15" s="1" t="s">
        <v>14</v>
      </c>
    </row>
    <row r="16" spans="2:5" ht="12.75">
      <c r="B16" s="3">
        <f>(Φ1/ΔΗ1)^w</f>
        <v>1044.6234713937838</v>
      </c>
      <c r="C16" s="3" t="s">
        <v>10</v>
      </c>
      <c r="D16" s="3">
        <f>(Φπ1/ΔΗπ1)^w+(Φπ2/ΔΗπ2)^w+(Φπ3/ΔΗπ3)^w+(Φπ4/ΔΗπ4)^w</f>
        <v>1044.6234714070974</v>
      </c>
      <c r="E16" s="4">
        <f>B16-D16</f>
        <v>-1.331363819190301E-08</v>
      </c>
    </row>
    <row r="17" spans="2:11" ht="12.75">
      <c r="B17" s="3">
        <f>(Φ2/ΔΗ2)^w</f>
        <v>761.7798914929192</v>
      </c>
      <c r="C17" s="3" t="s">
        <v>10</v>
      </c>
      <c r="D17" s="3">
        <f>(Φπ3/ΔΗπ3)^w+(Φπ4/ΔΗπ4)^w</f>
        <v>761.7798905845224</v>
      </c>
      <c r="E17" s="4">
        <f>B17-D17</f>
        <v>9.083968279810506E-07</v>
      </c>
      <c r="J17" t="s">
        <v>20</v>
      </c>
      <c r="K17">
        <v>350</v>
      </c>
    </row>
    <row r="18" spans="10:11" ht="12.75">
      <c r="J18" t="s">
        <v>22</v>
      </c>
      <c r="K18">
        <f>6/1000</f>
        <v>0.006</v>
      </c>
    </row>
    <row r="19" spans="10:11" ht="12.75">
      <c r="J19" t="s">
        <v>75</v>
      </c>
      <c r="K19">
        <v>0.69</v>
      </c>
    </row>
    <row r="20" spans="2:13" ht="12.75">
      <c r="B20" s="1" t="s">
        <v>50</v>
      </c>
      <c r="E20" s="1" t="s">
        <v>49</v>
      </c>
      <c r="L20" t="s">
        <v>87</v>
      </c>
      <c r="M20">
        <v>0.12414365755194319</v>
      </c>
    </row>
    <row r="21" spans="2:13" ht="12.75">
      <c r="B21" t="s">
        <v>11</v>
      </c>
      <c r="C21">
        <f>Η0-Ηπ1</f>
        <v>21</v>
      </c>
      <c r="D21" s="2">
        <f>ΔΗ1+ΔΗπ1</f>
        <v>21</v>
      </c>
      <c r="E21">
        <f>Η0-ΔΗ1-ΔΗπ1</f>
        <v>30</v>
      </c>
      <c r="J21" t="s">
        <v>36</v>
      </c>
      <c r="K21">
        <f>(1/Sheet1!E13)*(K18*(K17/K19)^Sheet1!D5)^(1/(Sheet1!D4+2))</f>
        <v>0.11442771517466585</v>
      </c>
      <c r="L21" t="s">
        <v>88</v>
      </c>
      <c r="M21">
        <v>30</v>
      </c>
    </row>
    <row r="22" spans="2:13" ht="12.75">
      <c r="B22" t="s">
        <v>12</v>
      </c>
      <c r="C22">
        <f>Η0-Ηπ2</f>
        <v>21</v>
      </c>
      <c r="D22" s="2">
        <f>ΔΗ1+ΔΗπ2</f>
        <v>21</v>
      </c>
      <c r="E22">
        <f>Η0-ΔΗ1-ΔΗπ2</f>
        <v>30</v>
      </c>
      <c r="L22" t="s">
        <v>89</v>
      </c>
      <c r="M22">
        <v>0.05933</v>
      </c>
    </row>
    <row r="23" spans="2:13" ht="12.75">
      <c r="B23" t="s">
        <v>13</v>
      </c>
      <c r="C23">
        <f>Η0-Ηπ3</f>
        <v>21</v>
      </c>
      <c r="D23" s="2">
        <f>ΔΗ1+ΔΗ2+ΔΗπ3</f>
        <v>21</v>
      </c>
      <c r="E23">
        <f>Η0-ΔΗ1-ΔΗ2-ΔΗπ3</f>
        <v>30.000000000000004</v>
      </c>
      <c r="L23" t="s">
        <v>90</v>
      </c>
      <c r="M23">
        <v>0.65</v>
      </c>
    </row>
    <row r="24" spans="2:13" ht="12.75">
      <c r="B24" t="s">
        <v>47</v>
      </c>
      <c r="C24">
        <f>Η0-Ηπ4</f>
        <v>21</v>
      </c>
      <c r="D24" s="2">
        <f>ΔΗ1+ΔΗ2+ΔΗπ4</f>
        <v>21</v>
      </c>
      <c r="E24">
        <f>Η0-ΔΗ1-ΔΗ2-ΔΗπ4</f>
        <v>30.000000000000004</v>
      </c>
      <c r="L24" t="s">
        <v>25</v>
      </c>
      <c r="M24">
        <v>2000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16"/>
  <sheetViews>
    <sheetView workbookViewId="0" topLeftCell="A1">
      <selection activeCell="J24" sqref="J24"/>
    </sheetView>
  </sheetViews>
  <sheetFormatPr defaultColWidth="9.140625" defaultRowHeight="12.75"/>
  <sheetData>
    <row r="4" spans="1:8" ht="12.75">
      <c r="A4" t="s">
        <v>51</v>
      </c>
      <c r="B4">
        <v>31</v>
      </c>
      <c r="C4">
        <v>32</v>
      </c>
      <c r="D4">
        <v>33</v>
      </c>
      <c r="E4">
        <v>34</v>
      </c>
      <c r="F4">
        <v>35</v>
      </c>
      <c r="G4">
        <v>40</v>
      </c>
      <c r="H4">
        <v>45</v>
      </c>
    </row>
    <row r="5" spans="1:6" ht="12.75">
      <c r="A5" t="s">
        <v>15</v>
      </c>
      <c r="B5">
        <v>0.31625889312580163</v>
      </c>
      <c r="C5">
        <v>0.6325177862438479</v>
      </c>
      <c r="D5">
        <v>0.9487766793768436</v>
      </c>
      <c r="E5">
        <v>1.2650355725012663</v>
      </c>
      <c r="F5">
        <v>1.5812944655796664</v>
      </c>
    </row>
    <row r="6" spans="1:6" ht="12.75">
      <c r="A6" t="s">
        <v>16</v>
      </c>
      <c r="B6">
        <v>0.33493761954963813</v>
      </c>
      <c r="C6">
        <v>0.6698752391158118</v>
      </c>
      <c r="D6">
        <v>1.0048128586504506</v>
      </c>
      <c r="E6">
        <v>1.3397504782022849</v>
      </c>
      <c r="F6">
        <v>1.6746880978491356</v>
      </c>
    </row>
    <row r="7" spans="1:6" ht="12.75">
      <c r="A7" t="s">
        <v>52</v>
      </c>
      <c r="B7">
        <v>0.6837411068741983</v>
      </c>
      <c r="C7">
        <v>1.3674822137561522</v>
      </c>
      <c r="D7">
        <v>2.0512233206231563</v>
      </c>
      <c r="E7">
        <v>2.734964427498734</v>
      </c>
      <c r="F7">
        <v>3.418705534420334</v>
      </c>
    </row>
    <row r="8" spans="1:6" ht="12.75">
      <c r="A8" t="s">
        <v>53</v>
      </c>
      <c r="B8">
        <v>0.6837411068741983</v>
      </c>
      <c r="C8">
        <v>1.3674822137561522</v>
      </c>
      <c r="D8">
        <v>2.0512233206231563</v>
      </c>
      <c r="E8">
        <v>2.734964427498734</v>
      </c>
      <c r="F8">
        <v>3.418705534420334</v>
      </c>
    </row>
    <row r="9" spans="1:6" ht="12.75">
      <c r="A9" t="s">
        <v>54</v>
      </c>
      <c r="B9">
        <v>0.3488034873245602</v>
      </c>
      <c r="C9">
        <v>0.6976069746403404</v>
      </c>
      <c r="D9">
        <v>1.0464104619727057</v>
      </c>
      <c r="E9">
        <v>1.395213949296449</v>
      </c>
      <c r="F9">
        <v>1.7440174365711982</v>
      </c>
    </row>
    <row r="10" spans="1:6" ht="12.75">
      <c r="A10" t="s">
        <v>55</v>
      </c>
      <c r="B10">
        <v>0.3488034873245602</v>
      </c>
      <c r="C10">
        <v>0.6976069746403404</v>
      </c>
      <c r="D10">
        <v>1.0464104619727057</v>
      </c>
      <c r="E10">
        <v>1.395213949296449</v>
      </c>
      <c r="F10">
        <v>1.7440174365711982</v>
      </c>
    </row>
    <row r="11" spans="1:3" ht="12.75">
      <c r="A11" t="s">
        <v>56</v>
      </c>
      <c r="C11">
        <v>0.21771626965121083</v>
      </c>
    </row>
    <row r="12" spans="1:3" ht="12.75">
      <c r="A12" t="s">
        <v>57</v>
      </c>
      <c r="C12">
        <v>0.16917294080314568</v>
      </c>
    </row>
    <row r="13" spans="1:3" ht="12.75">
      <c r="A13" t="s">
        <v>58</v>
      </c>
      <c r="C13">
        <v>0.11115611217406385</v>
      </c>
    </row>
    <row r="14" spans="1:3" ht="12.75">
      <c r="A14" t="s">
        <v>59</v>
      </c>
      <c r="C14">
        <v>0.10249793044525465</v>
      </c>
    </row>
    <row r="15" spans="1:3" ht="12.75">
      <c r="A15" t="s">
        <v>60</v>
      </c>
      <c r="C15">
        <v>0.13115500875547828</v>
      </c>
    </row>
    <row r="16" spans="1:3" ht="12.75">
      <c r="A16" t="s">
        <v>61</v>
      </c>
      <c r="C16">
        <v>0.11417706675118973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R20"/>
  <sheetViews>
    <sheetView workbookViewId="0" topLeftCell="F1">
      <selection activeCell="P26" sqref="P25:P26"/>
    </sheetView>
  </sheetViews>
  <sheetFormatPr defaultColWidth="9.140625" defaultRowHeight="12.75"/>
  <cols>
    <col min="12" max="12" width="17.7109375" style="0" customWidth="1"/>
  </cols>
  <sheetData>
    <row r="1" spans="2:7" ht="20.25">
      <c r="B1" t="s">
        <v>99</v>
      </c>
      <c r="G1" s="16" t="s">
        <v>97</v>
      </c>
    </row>
    <row r="2" spans="2:16" ht="12.75">
      <c r="B2" t="s">
        <v>39</v>
      </c>
      <c r="C2">
        <v>500</v>
      </c>
      <c r="D2">
        <v>24</v>
      </c>
      <c r="J2" t="s">
        <v>100</v>
      </c>
      <c r="K2" t="s">
        <v>101</v>
      </c>
      <c r="L2" t="s">
        <v>105</v>
      </c>
      <c r="M2" t="s">
        <v>106</v>
      </c>
      <c r="N2" t="s">
        <v>102</v>
      </c>
      <c r="O2" t="s">
        <v>103</v>
      </c>
      <c r="P2" t="s">
        <v>104</v>
      </c>
    </row>
    <row r="3" spans="2:16" ht="12.75">
      <c r="B3" t="s">
        <v>44</v>
      </c>
      <c r="C3">
        <v>600</v>
      </c>
      <c r="D3">
        <v>12</v>
      </c>
      <c r="J3">
        <v>45</v>
      </c>
      <c r="K3">
        <v>50</v>
      </c>
      <c r="L3">
        <v>51</v>
      </c>
      <c r="M3">
        <v>53</v>
      </c>
      <c r="N3">
        <v>55</v>
      </c>
      <c r="O3">
        <v>60</v>
      </c>
      <c r="P3">
        <v>65</v>
      </c>
    </row>
    <row r="4" spans="2:17" ht="12.75">
      <c r="B4" t="s">
        <v>42</v>
      </c>
      <c r="C4">
        <v>600</v>
      </c>
      <c r="D4">
        <v>6</v>
      </c>
      <c r="G4" s="5"/>
      <c r="I4" t="s">
        <v>71</v>
      </c>
      <c r="J4" s="17">
        <v>4.7438833968499585</v>
      </c>
      <c r="K4" s="17">
        <v>6.325177862459656</v>
      </c>
      <c r="L4" s="17">
        <v>6.641436755634589</v>
      </c>
      <c r="M4" s="17">
        <v>7.273954541751408</v>
      </c>
      <c r="N4">
        <v>7.90647232623344</v>
      </c>
      <c r="O4">
        <v>9.487766790665239</v>
      </c>
      <c r="P4">
        <v>11.069061257094312</v>
      </c>
      <c r="Q4" s="10"/>
    </row>
    <row r="5" spans="2:17" ht="12.75">
      <c r="B5" t="s">
        <v>43</v>
      </c>
      <c r="C5">
        <v>400</v>
      </c>
      <c r="D5">
        <v>6</v>
      </c>
      <c r="G5" s="5"/>
      <c r="I5" t="s">
        <v>72</v>
      </c>
      <c r="J5" s="17">
        <v>5.024064293341111</v>
      </c>
      <c r="K5" s="17">
        <v>6.698752391102098</v>
      </c>
      <c r="L5" s="17">
        <v>7.033690010562885</v>
      </c>
      <c r="M5" s="17">
        <v>7.703565249918534</v>
      </c>
      <c r="N5">
        <v>8.373440492568314</v>
      </c>
      <c r="O5">
        <v>10.048128592761262</v>
      </c>
      <c r="P5">
        <v>11.722816688848214</v>
      </c>
      <c r="Q5" s="10"/>
    </row>
    <row r="6" spans="2:16" ht="12.75">
      <c r="B6" t="s">
        <v>45</v>
      </c>
      <c r="C6">
        <v>700</v>
      </c>
      <c r="D6">
        <v>6</v>
      </c>
      <c r="G6" s="5"/>
      <c r="I6" t="s">
        <v>92</v>
      </c>
      <c r="J6" s="17">
        <v>10.25611660315004</v>
      </c>
      <c r="K6" s="17">
        <v>13.674822137540344</v>
      </c>
      <c r="L6" s="17">
        <v>14.35856324436541</v>
      </c>
      <c r="M6" s="17">
        <v>15.726045458248592</v>
      </c>
      <c r="N6">
        <v>17.09352767376656</v>
      </c>
      <c r="O6">
        <v>20.51223320933476</v>
      </c>
      <c r="P6">
        <v>23.93093874290569</v>
      </c>
    </row>
    <row r="7" spans="2:16" ht="12.75">
      <c r="B7" t="s">
        <v>46</v>
      </c>
      <c r="C7">
        <v>350</v>
      </c>
      <c r="D7">
        <v>6</v>
      </c>
      <c r="I7" t="s">
        <v>93</v>
      </c>
      <c r="J7" s="17">
        <v>10.25611660315004</v>
      </c>
      <c r="K7" s="17">
        <v>13.674822137540344</v>
      </c>
      <c r="L7" s="17">
        <v>14.35856324436541</v>
      </c>
      <c r="M7" s="17">
        <v>15.726045458248592</v>
      </c>
      <c r="N7">
        <v>17.09352767376656</v>
      </c>
      <c r="O7">
        <v>20.51223320933476</v>
      </c>
      <c r="P7">
        <v>23.93093874290569</v>
      </c>
    </row>
    <row r="8" spans="9:18" ht="12.75">
      <c r="I8" t="s">
        <v>91</v>
      </c>
      <c r="J8" s="17">
        <v>5.23205230980893</v>
      </c>
      <c r="K8" s="17">
        <v>6.976069746438246</v>
      </c>
      <c r="L8" s="17">
        <v>7.324873233802525</v>
      </c>
      <c r="M8" s="17">
        <v>8.022480208330059</v>
      </c>
      <c r="N8">
        <v>8.720087181198245</v>
      </c>
      <c r="O8">
        <v>10.464104616573497</v>
      </c>
      <c r="P8">
        <v>12.208122054057474</v>
      </c>
      <c r="Q8">
        <v>45</v>
      </c>
      <c r="R8">
        <v>4997.197853611643</v>
      </c>
    </row>
    <row r="9" spans="9:18" ht="12.75">
      <c r="I9" t="s">
        <v>73</v>
      </c>
      <c r="J9" s="17">
        <v>5.23205230980893</v>
      </c>
      <c r="K9" s="17">
        <v>6.976069746438246</v>
      </c>
      <c r="L9" s="17">
        <v>7.324873233802525</v>
      </c>
      <c r="M9" s="17">
        <v>8.022480208330059</v>
      </c>
      <c r="N9">
        <v>8.720087181198245</v>
      </c>
      <c r="O9">
        <v>10.464104616573497</v>
      </c>
      <c r="P9">
        <v>12.208122054057474</v>
      </c>
      <c r="Q9" s="18">
        <v>50</v>
      </c>
      <c r="R9" s="18">
        <v>4919.195833071179</v>
      </c>
    </row>
    <row r="10" spans="12:18" ht="12.75">
      <c r="L10" s="17"/>
      <c r="Q10" s="15">
        <v>51</v>
      </c>
      <c r="R10" s="15">
        <v>4915.355303850542</v>
      </c>
    </row>
    <row r="11" spans="2:18" ht="12.75">
      <c r="B11" t="s">
        <v>98</v>
      </c>
      <c r="I11" t="s">
        <v>56</v>
      </c>
      <c r="J11" s="9">
        <f>(1/Sheet1!$E$13)*(($D2/1000)*($C2/J4)^Sheet1!$D$5)^(1/(Sheet1!$D$4+2))</f>
        <v>0.14550523940383925</v>
      </c>
      <c r="K11" s="9">
        <f>(1/Sheet1!$E$13)*(($D2/1000)*($C2/K4)^Sheet1!$D$5)^(1/(Sheet1!$D$4+2))</f>
        <v>0.1373696793491697</v>
      </c>
      <c r="L11" s="9">
        <f>(1/Sheet1!$E$13)*(($D2/1000)*($C2/L4)^Sheet1!$D$5)^(1/(Sheet1!$D$4+2))</f>
        <v>0.13603574040220795</v>
      </c>
      <c r="M11" s="9">
        <f>(1/Sheet1!$E$13)*(($D2/1000)*($C2/M4)^Sheet1!$D$5)^(1/(Sheet1!$D$4+2))</f>
        <v>0.13358303809138258</v>
      </c>
      <c r="N11" s="9">
        <f>(1/Sheet1!$E$13)*(($D2/1000)*($C2/N4)^Sheet1!$D$5)^(1/(Sheet1!$D$4+2))</f>
        <v>0.1313738362470527</v>
      </c>
      <c r="O11" s="9">
        <f>(1/Sheet1!$E$13)*(($D2/1000)*($C2/O4)^Sheet1!$D$5)^(1/(Sheet1!$D$4+2))</f>
        <v>0.12666966813365274</v>
      </c>
      <c r="P11" s="9">
        <f>(1/Sheet1!$E$13)*(($D2/1000)*($C2/P4)^Sheet1!$D$5)^(1/(Sheet1!$D$4+2))</f>
        <v>0.12282401071242835</v>
      </c>
      <c r="Q11">
        <v>53</v>
      </c>
      <c r="R11">
        <v>4916.1191478916</v>
      </c>
    </row>
    <row r="12" spans="9:18" ht="12.75">
      <c r="I12" t="s">
        <v>57</v>
      </c>
      <c r="J12" s="9">
        <f>(1/Sheet1!$E$13)*(($D3/1000)*($C3/J5)^Sheet1!$D$5)^(1/(Sheet1!$D$4+2))</f>
        <v>0.11306251614404858</v>
      </c>
      <c r="K12" s="9">
        <f>(1/Sheet1!$E$13)*(($D3/1000)*($C3/K5)^Sheet1!$D$5)^(1/(Sheet1!$D$4+2))</f>
        <v>0.10674090948723627</v>
      </c>
      <c r="L12" s="9">
        <f>(1/Sheet1!$E$13)*(($D3/1000)*($C3/L5)^Sheet1!$D$5)^(1/(Sheet1!$D$4+2))</f>
        <v>0.10570439359077297</v>
      </c>
      <c r="M12" s="9">
        <f>(1/Sheet1!$E$13)*(($D3/1000)*($C3/M5)^Sheet1!$D$5)^(1/(Sheet1!$D$4+2))</f>
        <v>0.10379856053687644</v>
      </c>
      <c r="N12" s="9">
        <f>(1/Sheet1!$E$13)*(($D3/1000)*($C3/N5)^Sheet1!$D$5)^(1/(Sheet1!$D$4+2))</f>
        <v>0.10208193560898171</v>
      </c>
      <c r="O12" s="9">
        <f>(1/Sheet1!$E$13)*(($D3/1000)*($C3/O5)^Sheet1!$D$5)^(1/(Sheet1!$D$4+2))</f>
        <v>0.09842663710496914</v>
      </c>
      <c r="P12" s="9">
        <f>(1/Sheet1!$E$13)*(($D3/1000)*($C3/P5)^Sheet1!$D$5)^(1/(Sheet1!$D$4+2))</f>
        <v>0.09543843059776229</v>
      </c>
      <c r="Q12">
        <v>55</v>
      </c>
      <c r="R12">
        <v>4926.334420832946</v>
      </c>
    </row>
    <row r="13" spans="2:18" ht="12.75">
      <c r="B13" t="s">
        <v>87</v>
      </c>
      <c r="C13">
        <v>0.12414365755194319</v>
      </c>
      <c r="I13" t="s">
        <v>58</v>
      </c>
      <c r="J13" s="9">
        <f>(1/Sheet1!$E$13)*(($D4/1000)*($C4/J6)^Sheet1!$D$5)^(1/(Sheet1!$D$4+2))</f>
        <v>0.07428841555580208</v>
      </c>
      <c r="K13" s="9">
        <f>(1/Sheet1!$E$13)*(($D4/1000)*($C4/K6)^Sheet1!$D$5)^(1/(Sheet1!$D$4+2))</f>
        <v>0.07013476536011153</v>
      </c>
      <c r="L13" s="9">
        <f>(1/Sheet1!$E$13)*(($D4/1000)*($C4/L6)^Sheet1!$D$5)^(1/(Sheet1!$D$4+2))</f>
        <v>0.06945371627073975</v>
      </c>
      <c r="M13" s="9">
        <f>(1/Sheet1!$E$13)*(($D4/1000)*($C4/M6)^Sheet1!$D$5)^(1/(Sheet1!$D$4+2))</f>
        <v>0.06820147704346739</v>
      </c>
      <c r="N13" s="9">
        <f>(1/Sheet1!$E$13)*(($D4/1000)*($C4/N6)^Sheet1!$D$5)^(1/(Sheet1!$D$4+2))</f>
        <v>0.06707355817288548</v>
      </c>
      <c r="O13" s="9">
        <f>(1/Sheet1!$E$13)*(($D4/1000)*($C4/O6)^Sheet1!$D$5)^(1/(Sheet1!$D$4+2))</f>
        <v>0.06467182200656649</v>
      </c>
      <c r="P13" s="9">
        <f>(1/Sheet1!$E$13)*(($D4/1000)*($C4/P6)^Sheet1!$D$5)^(1/(Sheet1!$D$4+2))</f>
        <v>0.06270840270002388</v>
      </c>
      <c r="Q13">
        <v>60</v>
      </c>
      <c r="R13">
        <v>4983.102676229881</v>
      </c>
    </row>
    <row r="14" spans="2:18" ht="12.75">
      <c r="B14" t="s">
        <v>88</v>
      </c>
      <c r="C14">
        <v>30</v>
      </c>
      <c r="I14" t="s">
        <v>59</v>
      </c>
      <c r="J14" s="9">
        <f>(1/Sheet1!$E$13)*(($D5/1000)*($C5/J7)^Sheet1!$D$5)^(1/(Sheet1!$D$4+2))</f>
        <v>0.06850193571544734</v>
      </c>
      <c r="K14" s="9">
        <f>(1/Sheet1!$E$13)*(($D5/1000)*($C5/K7)^Sheet1!$D$5)^(1/(Sheet1!$D$4+2))</f>
        <v>0.06467182200847346</v>
      </c>
      <c r="L14" s="9">
        <f>(1/Sheet1!$E$13)*(($D5/1000)*($C5/L7)^Sheet1!$D$5)^(1/(Sheet1!$D$4+2))</f>
        <v>0.06404382125505631</v>
      </c>
      <c r="M14" s="9">
        <f>(1/Sheet1!$E$13)*(($D5/1000)*($C5/M7)^Sheet1!$D$5)^(1/(Sheet1!$D$4+2))</f>
        <v>0.06288912155652072</v>
      </c>
      <c r="N14" s="9">
        <f>(1/Sheet1!$E$13)*(($D5/1000)*($C5/N7)^Sheet1!$D$5)^(1/(Sheet1!$D$4+2))</f>
        <v>0.06184905864244759</v>
      </c>
      <c r="O14" s="9">
        <f>(1/Sheet1!$E$13)*(($D5/1000)*($C5/O7)^Sheet1!$D$5)^(1/(Sheet1!$D$4+2))</f>
        <v>0.05963439872219304</v>
      </c>
      <c r="P14" s="9">
        <f>(1/Sheet1!$E$13)*(($D5/1000)*($C5/P7)^Sheet1!$D$5)^(1/(Sheet1!$D$4+2))</f>
        <v>0.05782391424607415</v>
      </c>
      <c r="Q14">
        <v>65</v>
      </c>
      <c r="R14">
        <v>5071.942829332171</v>
      </c>
    </row>
    <row r="15" spans="2:16" ht="12.75">
      <c r="B15" t="s">
        <v>89</v>
      </c>
      <c r="C15">
        <v>0.05933</v>
      </c>
      <c r="I15" t="s">
        <v>60</v>
      </c>
      <c r="J15" s="9">
        <f>(1/Sheet1!$E$13)*(($D6/1000)*($C6/J8)^Sheet1!$D$5)^(1/(Sheet1!$D$4+2))</f>
        <v>0.08765417935262096</v>
      </c>
      <c r="K15" s="9">
        <f>(1/Sheet1!$E$13)*(($D6/1000)*($C6/K8)^Sheet1!$D$5)^(1/(Sheet1!$D$4+2))</f>
        <v>0.0827532160395504</v>
      </c>
      <c r="L15" s="9">
        <f>(1/Sheet1!$E$13)*(($D6/1000)*($C6/L8)^Sheet1!$D$5)^(1/(Sheet1!$D$4+2))</f>
        <v>0.08194963450409148</v>
      </c>
      <c r="M15" s="9">
        <f>(1/Sheet1!$E$13)*(($D6/1000)*($C6/M8)^Sheet1!$D$5)^(1/(Sheet1!$D$4+2))</f>
        <v>0.08047209590039274</v>
      </c>
      <c r="N15" s="9">
        <f>(1/Sheet1!$E$13)*(($D6/1000)*($C6/N8)^Sheet1!$D$5)^(1/(Sheet1!$D$4+2))</f>
        <v>0.07914124502844626</v>
      </c>
      <c r="O15" s="9">
        <f>(1/Sheet1!$E$13)*(($D6/1000)*($C6/O8)^Sheet1!$D$5)^(1/(Sheet1!$D$4+2))</f>
        <v>0.07630739521512375</v>
      </c>
      <c r="P15" s="9">
        <f>(1/Sheet1!$E$13)*(($D6/1000)*($C6/P8)^Sheet1!$D$5)^(1/(Sheet1!$D$4+2))</f>
        <v>0.07399072299977015</v>
      </c>
    </row>
    <row r="16" spans="2:16" ht="12.75">
      <c r="B16" t="s">
        <v>90</v>
      </c>
      <c r="C16">
        <v>0.65</v>
      </c>
      <c r="I16" t="s">
        <v>61</v>
      </c>
      <c r="J16" s="9">
        <f>(1/Sheet1!$E$13)*(($D7/1000)*($C7/J9)^Sheet1!$D$5)^(1/(Sheet1!$D$4+2))</f>
        <v>0.07630739521068368</v>
      </c>
      <c r="K16" s="9">
        <f>(1/Sheet1!$E$13)*(($D7/1000)*($C7/K9)^Sheet1!$D$5)^(1/(Sheet1!$D$4+2))</f>
        <v>0.07204085883779647</v>
      </c>
      <c r="L16" s="9">
        <f>(1/Sheet1!$E$13)*(($D7/1000)*($C7/L9)^Sheet1!$D$5)^(1/(Sheet1!$D$4+2))</f>
        <v>0.07134130047944832</v>
      </c>
      <c r="M16" s="9">
        <f>(1/Sheet1!$E$13)*(($D7/1000)*($C7/M9)^Sheet1!$D$5)^(1/(Sheet1!$D$4+2))</f>
        <v>0.07005502841570663</v>
      </c>
      <c r="N16" s="9">
        <f>(1/Sheet1!$E$13)*(($D7/1000)*($C7/N9)^Sheet1!$D$5)^(1/(Sheet1!$D$4+2))</f>
        <v>0.06889645543947046</v>
      </c>
      <c r="O16" s="9">
        <f>(1/Sheet1!$E$13)*(($D7/1000)*($C7/O9)^Sheet1!$D$5)^(1/(Sheet1!$D$4+2))</f>
        <v>0.06642944588818595</v>
      </c>
      <c r="P16" s="9">
        <f>(1/Sheet1!$E$13)*(($D7/1000)*($C7/P9)^Sheet1!$D$5)^(1/(Sheet1!$D$4+2))</f>
        <v>0.06441266558613741</v>
      </c>
    </row>
    <row r="17" spans="2:16" ht="12.75">
      <c r="B17" t="s">
        <v>25</v>
      </c>
      <c r="C17">
        <v>2000</v>
      </c>
      <c r="H17" t="s">
        <v>84</v>
      </c>
      <c r="J17" s="2">
        <f>$C$2*Sheet1!$D$9*(J11^Sheet1!$D$10)+$C$3*Sheet1!$D$9*(J12^Sheet1!$D$10)+$C$4*Sheet1!$D$9*(J13^Sheet1!$D$10)+$C$5*Sheet1!$D$9*(J14^Sheet1!$D$10)+$C$6*Sheet1!$D$9*(J15^Sheet1!$D$10)+$C$7*Sheet1!$D$9*(J16^Sheet1!$D$10)</f>
        <v>24673.64362210165</v>
      </c>
      <c r="K17" s="2">
        <f>$C$2*Sheet1!$D$9*(K11^Sheet1!$D$10)+$C$3*Sheet1!$D$9*(K12^Sheet1!$D$10)+$C$4*Sheet1!$D$9*(K13^Sheet1!$D$10)+$C$5*Sheet1!$D$9*(K14^Sheet1!$D$10)+$C$6*Sheet1!$D$9*(K15^Sheet1!$D$10)+$C$7*Sheet1!$D$9*(K16^Sheet1!$D$10)</f>
        <v>22314.244728845915</v>
      </c>
      <c r="L17" s="2">
        <f>$C$2*Sheet1!$D$9*(L11^Sheet1!$D$10)+$C$3*Sheet1!$D$9*(L12^Sheet1!$D$10)+$C$4*Sheet1!$D$9*(L13^Sheet1!$D$10)+$C$5*Sheet1!$D$9*(L14^Sheet1!$D$10)+$C$6*Sheet1!$D$9*(L15^Sheet1!$D$10)+$C$7*Sheet1!$D$9*(L16^Sheet1!$D$10)</f>
        <v>21937.092905849993</v>
      </c>
      <c r="M17" s="2">
        <f>$C$2*Sheet1!$D$9*(M11^Sheet1!$D$10)+$C$3*Sheet1!$D$9*(M12^Sheet1!$D$10)+$C$4*Sheet1!$D$9*(M13^Sheet1!$D$10)+$C$5*Sheet1!$D$9*(M14^Sheet1!$D$10)+$C$6*Sheet1!$D$9*(M15^Sheet1!$D$10)+$C$7*Sheet1!$D$9*(M16^Sheet1!$D$10)</f>
        <v>21250.814502942314</v>
      </c>
      <c r="N17" s="2">
        <f>$C$2*Sheet1!$D$9*(N11^Sheet1!$D$10)+$C$3*Sheet1!$D$9*(N12^Sheet1!$D$10)+$C$4*Sheet1!$D$9*(N13^Sheet1!$D$10)+$C$5*Sheet1!$D$9*(N14^Sheet1!$D$10)+$C$6*Sheet1!$D$9*(N15^Sheet1!$D$10)+$C$7*Sheet1!$D$9*(N16^Sheet1!$D$10)</f>
        <v>20640.669098583792</v>
      </c>
      <c r="O17" s="2">
        <f>$C$2*Sheet1!$D$9*(O11^Sheet1!$D$10)+$C$3*Sheet1!$D$9*(O12^Sheet1!$D$10)+$C$4*Sheet1!$D$9*(O13^Sheet1!$D$10)+$C$5*Sheet1!$D$9*(O14^Sheet1!$D$10)+$C$6*Sheet1!$D$9*(O15^Sheet1!$D$10)+$C$7*Sheet1!$D$9*(O16^Sheet1!$D$10)</f>
        <v>19366.86957137711</v>
      </c>
      <c r="P17" s="2">
        <f>$C$2*Sheet1!$D$9*(P11^Sheet1!$D$10)+$C$3*Sheet1!$D$9*(P12^Sheet1!$D$10)+$C$4*Sheet1!$D$9*(P13^Sheet1!$D$10)+$C$5*Sheet1!$D$9*(P14^Sheet1!$D$10)+$C$6*Sheet1!$D$9*(P15^Sheet1!$D$10)+$C$7*Sheet1!$D$9*(P16^Sheet1!$D$10)</f>
        <v>18351.41508037927</v>
      </c>
    </row>
    <row r="18" spans="8:16" ht="12.75">
      <c r="H18" t="s">
        <v>94</v>
      </c>
      <c r="J18" s="2">
        <f aca="true" t="shared" si="0" ref="J18:P18">J17*$C$13</f>
        <v>3063.076364380874</v>
      </c>
      <c r="K18" s="2">
        <f t="shared" si="0"/>
        <v>2770.171956148101</v>
      </c>
      <c r="L18" s="2">
        <f t="shared" si="0"/>
        <v>2723.3509493890037</v>
      </c>
      <c r="M18" s="2">
        <f t="shared" si="0"/>
        <v>2638.1538383531383</v>
      </c>
      <c r="N18" s="2">
        <f t="shared" si="0"/>
        <v>2562.408156217562</v>
      </c>
      <c r="O18" s="2">
        <f t="shared" si="0"/>
        <v>2404.2740239221885</v>
      </c>
      <c r="P18" s="2">
        <f t="shared" si="0"/>
        <v>2278.21178933217</v>
      </c>
    </row>
    <row r="19" spans="8:16" ht="12.75">
      <c r="H19" t="s">
        <v>95</v>
      </c>
      <c r="J19" s="2">
        <f>(9810*($D$2/1000)*J3/($C$16*1000))*$C$17*$C$15</f>
        <v>1934.1214892307692</v>
      </c>
      <c r="K19" s="2">
        <f aca="true" t="shared" si="1" ref="K19:P19">(9810*($D$2/1000)*K3/($C$16*1000))*$C$17*$C$15</f>
        <v>2149.0238769230773</v>
      </c>
      <c r="L19" s="2">
        <f t="shared" si="1"/>
        <v>2192.0043544615387</v>
      </c>
      <c r="M19" s="2">
        <f t="shared" si="1"/>
        <v>2277.9653095384615</v>
      </c>
      <c r="N19" s="2">
        <f t="shared" si="1"/>
        <v>2363.9262646153843</v>
      </c>
      <c r="O19" s="2">
        <f t="shared" si="1"/>
        <v>2578.828652307692</v>
      </c>
      <c r="P19" s="2">
        <f t="shared" si="1"/>
        <v>2793.73104</v>
      </c>
    </row>
    <row r="20" spans="8:16" ht="12.75">
      <c r="H20" t="s">
        <v>96</v>
      </c>
      <c r="J20" s="2">
        <f aca="true" t="shared" si="2" ref="J20:P20">SUM(J18:J19)</f>
        <v>4997.197853611643</v>
      </c>
      <c r="K20" s="2">
        <f t="shared" si="2"/>
        <v>4919.195833071179</v>
      </c>
      <c r="L20" s="2">
        <f t="shared" si="2"/>
        <v>4915.355303850542</v>
      </c>
      <c r="M20" s="2">
        <f t="shared" si="2"/>
        <v>4916.1191478916</v>
      </c>
      <c r="N20" s="2">
        <f t="shared" si="2"/>
        <v>4926.334420832946</v>
      </c>
      <c r="O20" s="2">
        <f t="shared" si="2"/>
        <v>4983.102676229881</v>
      </c>
      <c r="P20" s="2">
        <f t="shared" si="2"/>
        <v>5071.942829332171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B1">
      <selection activeCell="F4" sqref="F4"/>
    </sheetView>
  </sheetViews>
  <sheetFormatPr defaultColWidth="9.140625" defaultRowHeight="12.75"/>
  <sheetData>
    <row r="1" spans="2:7" ht="12.75">
      <c r="B1" t="s">
        <v>64</v>
      </c>
      <c r="G1" t="s">
        <v>62</v>
      </c>
    </row>
    <row r="2" spans="10:14" ht="12.75">
      <c r="J2" t="s">
        <v>100</v>
      </c>
      <c r="K2" t="s">
        <v>107</v>
      </c>
      <c r="L2" t="s">
        <v>105</v>
      </c>
      <c r="M2" t="s">
        <v>106</v>
      </c>
      <c r="N2" t="s">
        <v>108</v>
      </c>
    </row>
    <row r="3" spans="2:14" ht="12.75">
      <c r="B3" t="s">
        <v>65</v>
      </c>
      <c r="J3">
        <v>45</v>
      </c>
      <c r="K3">
        <v>50</v>
      </c>
      <c r="L3">
        <v>51</v>
      </c>
      <c r="M3">
        <v>53</v>
      </c>
      <c r="N3">
        <v>55</v>
      </c>
    </row>
    <row r="4" spans="1:16" ht="12.75">
      <c r="A4" t="s">
        <v>63</v>
      </c>
      <c r="B4">
        <f>((40-30)/1100)</f>
        <v>0.00909090909090909</v>
      </c>
      <c r="E4" t="s">
        <v>1</v>
      </c>
      <c r="F4">
        <v>1146.980522278517</v>
      </c>
      <c r="G4" s="5">
        <f>F4/F7</f>
        <v>0.39666741167871333</v>
      </c>
      <c r="I4" t="s">
        <v>71</v>
      </c>
      <c r="J4">
        <f>(J$3-30)*$G$4</f>
        <v>5.9500111751807</v>
      </c>
      <c r="K4">
        <f>(K$3-30)*$G$4</f>
        <v>7.933348233574266</v>
      </c>
      <c r="L4">
        <f>(L$3-30)*$G$4</f>
        <v>8.33001564525298</v>
      </c>
      <c r="M4">
        <f>(M$3-30)*$G$4</f>
        <v>9.123350468610406</v>
      </c>
      <c r="N4">
        <f>(N$3-30)*$G$4</f>
        <v>9.916685291967834</v>
      </c>
      <c r="P4" s="10"/>
    </row>
    <row r="5" spans="1:16" ht="12.75">
      <c r="A5" t="s">
        <v>66</v>
      </c>
      <c r="B5">
        <f>(40-30)/900</f>
        <v>0.011111111111111112</v>
      </c>
      <c r="E5" t="s">
        <v>2</v>
      </c>
      <c r="F5">
        <v>961.2858988714199</v>
      </c>
      <c r="G5" s="5">
        <f>F5/F7</f>
        <v>0.33244748448830175</v>
      </c>
      <c r="I5" t="s">
        <v>72</v>
      </c>
      <c r="J5">
        <f>(J$3-30)*$G$5</f>
        <v>4.986712267324526</v>
      </c>
      <c r="K5">
        <f>(K$3-30)*$G$5</f>
        <v>6.6489496897660345</v>
      </c>
      <c r="L5">
        <f>(L$3-30)*$G$5</f>
        <v>6.981397174254337</v>
      </c>
      <c r="M5">
        <f>(M$3-30)*$G$5</f>
        <v>7.64629214323094</v>
      </c>
      <c r="N5">
        <f>(N$3-30)*$G$5</f>
        <v>8.311187112207543</v>
      </c>
      <c r="P5" s="10"/>
    </row>
    <row r="6" spans="1:17" ht="12.75">
      <c r="A6" t="s">
        <v>67</v>
      </c>
      <c r="B6" s="5">
        <f>(40-30)/(500+600+700)</f>
        <v>0.005555555555555556</v>
      </c>
      <c r="C6" t="s">
        <v>69</v>
      </c>
      <c r="E6" t="s">
        <v>5</v>
      </c>
      <c r="F6">
        <v>783.2756831647246</v>
      </c>
      <c r="G6" s="5">
        <f>F6/F7</f>
        <v>0.2708851038329848</v>
      </c>
      <c r="I6" t="s">
        <v>91</v>
      </c>
      <c r="J6">
        <f>(J$3-30)*$G$6</f>
        <v>4.063276557494772</v>
      </c>
      <c r="K6">
        <f>(K$3-30)*$G$6</f>
        <v>5.417702076659696</v>
      </c>
      <c r="L6">
        <f>(L$3-30)*$G$6</f>
        <v>5.688587180492681</v>
      </c>
      <c r="M6">
        <f>(M$3-30)*$G$6</f>
        <v>6.230357388158651</v>
      </c>
      <c r="N6">
        <f>(N$3-30)*$G$6</f>
        <v>6.77212759582462</v>
      </c>
      <c r="P6">
        <v>45</v>
      </c>
      <c r="Q6">
        <v>5022.721195759268</v>
      </c>
    </row>
    <row r="7" spans="1:17" ht="12.75">
      <c r="A7" t="s">
        <v>68</v>
      </c>
      <c r="B7">
        <f>(40-30)/(500+600+350)</f>
        <v>0.006896551724137931</v>
      </c>
      <c r="E7" t="s">
        <v>70</v>
      </c>
      <c r="F7">
        <f>SUM(F4:F6)</f>
        <v>2891.5421043146616</v>
      </c>
      <c r="I7" t="s">
        <v>92</v>
      </c>
      <c r="J7">
        <f>J3-J4-30</f>
        <v>9.049988824819302</v>
      </c>
      <c r="K7">
        <f>K3-K4-30</f>
        <v>12.066651766425736</v>
      </c>
      <c r="L7">
        <f>L3-L4-30</f>
        <v>12.669984354747022</v>
      </c>
      <c r="M7">
        <f>M3-M4-30</f>
        <v>13.876649531389596</v>
      </c>
      <c r="N7">
        <f>N3-N4-30</f>
        <v>15.083314708032162</v>
      </c>
      <c r="P7">
        <v>50</v>
      </c>
      <c r="Q7">
        <v>4942.278524533496</v>
      </c>
    </row>
    <row r="8" spans="9:17" ht="12.75">
      <c r="I8" t="s">
        <v>93</v>
      </c>
      <c r="J8">
        <f>J3-30-J4</f>
        <v>9.0499888248193</v>
      </c>
      <c r="K8">
        <f>K3-30-K4</f>
        <v>12.066651766425734</v>
      </c>
      <c r="L8">
        <f>L3-30-L4</f>
        <v>12.66998435474702</v>
      </c>
      <c r="M8">
        <f>M3-30-M4</f>
        <v>13.876649531389594</v>
      </c>
      <c r="N8">
        <f>N3-30-N4</f>
        <v>15.083314708032166</v>
      </c>
      <c r="P8" s="5">
        <v>51</v>
      </c>
      <c r="Q8" s="5">
        <v>4938.047855325135</v>
      </c>
    </row>
    <row r="9" spans="9:17" ht="12.75">
      <c r="I9" t="s">
        <v>73</v>
      </c>
      <c r="J9">
        <f>J3-30-J4-J5</f>
        <v>4.063276557494774</v>
      </c>
      <c r="K9">
        <f>K3-30-K4-K5</f>
        <v>5.417702076659699</v>
      </c>
      <c r="L9">
        <f>L3-30-L4-L5</f>
        <v>5.688587180492684</v>
      </c>
      <c r="M9">
        <f>M3-30-M4-M5</f>
        <v>6.230357388158654</v>
      </c>
      <c r="N9">
        <f>N3-30-N4-N5</f>
        <v>6.772127595824623</v>
      </c>
      <c r="P9" s="18">
        <v>53</v>
      </c>
      <c r="Q9" s="18">
        <v>4938.101787252917</v>
      </c>
    </row>
    <row r="10" spans="16:17" ht="12.75">
      <c r="P10">
        <v>55</v>
      </c>
      <c r="Q10">
        <v>4947.68590290944</v>
      </c>
    </row>
    <row r="11" spans="4:15" ht="12.75">
      <c r="D11" t="s">
        <v>39</v>
      </c>
      <c r="E11">
        <v>500</v>
      </c>
      <c r="F11">
        <v>24</v>
      </c>
      <c r="I11" t="s">
        <v>56</v>
      </c>
      <c r="J11" s="9">
        <f>(1/Sheet1!$E$13)*(($F11/1000)*($E11/J4)^Sheet1!$D$5)^(1/(Sheet1!$D$4+2))</f>
        <v>0.13905988845392012</v>
      </c>
      <c r="K11" s="9">
        <f>(1/Sheet1!$E$13)*(($F11/1000)*($E11/K4)^Sheet1!$D$5)^(1/(Sheet1!$D$4+2))</f>
        <v>0.13128470401140813</v>
      </c>
      <c r="L11" s="9">
        <f>(1/Sheet1!$E$13)*(($F11/1000)*($E11/L4)^Sheet1!$D$5)^(1/(Sheet1!$D$4+2))</f>
        <v>0.1300098536905591</v>
      </c>
      <c r="M11" s="9">
        <f>(1/Sheet1!$E$13)*(($F11/1000)*($E11/M4)^Sheet1!$D$5)^(1/(Sheet1!$D$4+2))</f>
        <v>0.1276657971382285</v>
      </c>
      <c r="N11" s="9">
        <f>(1/Sheet1!$E$13)*(($F11/1000)*($E11/N4)^Sheet1!$D$5)^(1/(Sheet1!$D$4+2))</f>
        <v>0.12555445486550526</v>
      </c>
      <c r="O11" s="14"/>
    </row>
    <row r="12" spans="4:15" ht="12.75">
      <c r="D12" t="s">
        <v>44</v>
      </c>
      <c r="E12">
        <v>600</v>
      </c>
      <c r="F12">
        <v>12</v>
      </c>
      <c r="I12" t="s">
        <v>57</v>
      </c>
      <c r="J12" s="9">
        <f>(1/Sheet1!$E$13)*(($F12/1000)*($E12/J5)^Sheet1!$D$5)^(1/(Sheet1!$D$4+2))</f>
        <v>0.11323138562807088</v>
      </c>
      <c r="K12" s="9">
        <f>(1/Sheet1!$E$13)*(($F12/1000)*($E12/K5)^Sheet1!$D$5)^(1/(Sheet1!$D$4+2))</f>
        <v>0.10690033705807876</v>
      </c>
      <c r="L12" s="9">
        <f>(1/Sheet1!$E$13)*(($F12/1000)*($E12/L5)^Sheet1!$D$5)^(1/(Sheet1!$D$4+2))</f>
        <v>0.10586227302751568</v>
      </c>
      <c r="M12" s="9">
        <f>(1/Sheet1!$E$13)*(($F12/1000)*($E12/M5)^Sheet1!$D$5)^(1/(Sheet1!$D$4+2))</f>
        <v>0.10395359343369523</v>
      </c>
      <c r="N12" s="9">
        <f>(1/Sheet1!$E$13)*(($F12/1000)*($E12/N5)^Sheet1!$D$5)^(1/(Sheet1!$D$4+2))</f>
        <v>0.10223440457389116</v>
      </c>
      <c r="O12" s="14"/>
    </row>
    <row r="13" spans="4:15" ht="12.75">
      <c r="D13" t="s">
        <v>46</v>
      </c>
      <c r="E13">
        <v>350</v>
      </c>
      <c r="F13">
        <v>6</v>
      </c>
      <c r="I13" t="s">
        <v>61</v>
      </c>
      <c r="J13" s="9">
        <f>(1/Sheet1!$E$13)*(($F13/1000)*($E13/J9)^Sheet1!$D$5)^(1/(Sheet1!$D$4+2))</f>
        <v>0.08026491829082479</v>
      </c>
      <c r="K13" s="9">
        <f>(1/Sheet1!$E$13)*(($F13/1000)*($E13/K9)^Sheet1!$D$5)^(1/(Sheet1!$D$4+2))</f>
        <v>0.07577710695347344</v>
      </c>
      <c r="L13" s="9">
        <f>(1/Sheet1!$E$13)*(($F13/1000)*($E13/L9)^Sheet1!$D$5)^(1/(Sheet1!$D$4+2))</f>
        <v>0.07504126746752499</v>
      </c>
      <c r="M13" s="9">
        <f>(1/Sheet1!$E$13)*(($F13/1000)*($E13/M9)^Sheet1!$D$5)^(1/(Sheet1!$D$4+2))</f>
        <v>0.07368828559954203</v>
      </c>
      <c r="N13" s="9">
        <f>(1/Sheet1!$E$13)*(($F13/1000)*($E13/N9)^Sheet1!$D$5)^(1/(Sheet1!$D$4+2))</f>
        <v>0.07246962566181131</v>
      </c>
      <c r="O13" s="14"/>
    </row>
    <row r="14" spans="4:15" ht="12.75">
      <c r="D14" t="s">
        <v>42</v>
      </c>
      <c r="E14">
        <v>600</v>
      </c>
      <c r="F14">
        <v>6</v>
      </c>
      <c r="I14" t="s">
        <v>58</v>
      </c>
      <c r="J14" s="9">
        <f>(1/Sheet1!$E$13)*(($F14/1000)*($E14/J7)^Sheet1!$D$5)^(1/(Sheet1!$D$4+2))</f>
        <v>0.0761707228585382</v>
      </c>
      <c r="K14" s="9">
        <f>(1/Sheet1!$E$13)*(($F14/1000)*($E14/K7)^Sheet1!$D$5)^(1/(Sheet1!$D$4+2))</f>
        <v>0.07191182817705102</v>
      </c>
      <c r="L14" s="9">
        <f>(1/Sheet1!$E$13)*(($F14/1000)*($E14/L7)^Sheet1!$D$5)^(1/(Sheet1!$D$4+2))</f>
        <v>0.07121352278104397</v>
      </c>
      <c r="M14" s="9">
        <f>(1/Sheet1!$E$13)*(($F14/1000)*($E14/M7)^Sheet1!$D$5)^(1/(Sheet1!$D$4+2))</f>
        <v>0.06992955452824708</v>
      </c>
      <c r="N14" s="9">
        <f>(1/Sheet1!$E$13)*(($F14/1000)*($E14/N7)^Sheet1!$D$5)^(1/(Sheet1!$D$4+2))</f>
        <v>0.06877305664159436</v>
      </c>
      <c r="O14" s="14"/>
    </row>
    <row r="15" spans="4:15" ht="12.75">
      <c r="D15" t="s">
        <v>43</v>
      </c>
      <c r="E15">
        <v>400</v>
      </c>
      <c r="F15">
        <v>6</v>
      </c>
      <c r="I15" t="s">
        <v>59</v>
      </c>
      <c r="J15" s="9">
        <f>(1/Sheet1!$E$13)*(($F15/1000)*($E15/J8)^Sheet1!$D$5)^(1/(Sheet1!$D$4+2))</f>
        <v>0.07023762617114014</v>
      </c>
      <c r="K15" s="9">
        <f>(1/Sheet1!$E$13)*(($F15/1000)*($E15/K8)^Sheet1!$D$5)^(1/(Sheet1!$D$4+2))</f>
        <v>0.06631046569117338</v>
      </c>
      <c r="L15" s="9">
        <f>(1/Sheet1!$E$13)*(($F15/1000)*($E15/L8)^Sheet1!$D$5)^(1/(Sheet1!$D$4+2))</f>
        <v>0.06566655276088491</v>
      </c>
      <c r="M15" s="9">
        <f>(1/Sheet1!$E$13)*(($F15/1000)*($E15/M8)^Sheet1!$D$5)^(1/(Sheet1!$D$4+2))</f>
        <v>0.06448259547688952</v>
      </c>
      <c r="N15" s="9">
        <f>(1/Sheet1!$E$13)*(($F15/1000)*($E15/N8)^Sheet1!$D$5)^(1/(Sheet1!$D$4+2))</f>
        <v>0.06341617962599515</v>
      </c>
      <c r="O15" s="14"/>
    </row>
    <row r="16" spans="4:15" ht="12.75">
      <c r="D16" t="s">
        <v>45</v>
      </c>
      <c r="E16">
        <v>700</v>
      </c>
      <c r="F16">
        <v>6</v>
      </c>
      <c r="I16" t="s">
        <v>60</v>
      </c>
      <c r="J16" s="9">
        <f>(1/Sheet1!$E$13)*(($F16/1000)*($E16/J6)^Sheet1!$D$5)^(1/(Sheet1!$D$4+2))</f>
        <v>0.09220017960464189</v>
      </c>
      <c r="K16" s="9">
        <f>(1/Sheet1!$E$13)*(($F16/1000)*($E16/K6)^Sheet1!$D$5)^(1/(Sheet1!$D$4+2))</f>
        <v>0.08704503810388932</v>
      </c>
      <c r="L16" s="9">
        <f>(1/Sheet1!$E$13)*(($F16/1000)*($E16/L6)^Sheet1!$D$5)^(1/(Sheet1!$D$4+2))</f>
        <v>0.0861997804968385</v>
      </c>
      <c r="M16" s="9">
        <f>(1/Sheet1!$E$13)*(($F16/1000)*($E16/M6)^Sheet1!$D$5)^(1/(Sheet1!$D$4+2))</f>
        <v>0.08464561245074566</v>
      </c>
      <c r="N16" s="9">
        <f>(1/Sheet1!$E$13)*(($F16/1000)*($E16/N6)^Sheet1!$D$5)^(1/(Sheet1!$D$4+2))</f>
        <v>0.08324573978497357</v>
      </c>
      <c r="O16" s="14"/>
    </row>
    <row r="17" spans="8:14" ht="12.75">
      <c r="H17" t="s">
        <v>84</v>
      </c>
      <c r="J17">
        <f>$E$11*Sheet1!$D$9*(J11^Sheet1!$D$10)+$E$12*Sheet1!$D$9*(J12^Sheet1!$D$10)+$E$13*Sheet1!$D$9*(J13^Sheet1!$D$10)+$E$14*Sheet1!$D$9*(J14^Sheet1!$D$10)+$E$15*Sheet1!$D$9*(J15^Sheet1!$D$10)+$E$16*Sheet1!$D$9*(J16^Sheet1!$D$10)</f>
        <v>24879.238838570483</v>
      </c>
      <c r="K17">
        <f>$E$11*Sheet1!$D$9*(K11^Sheet1!$D$10)+$E$12*Sheet1!$D$9*(K12^Sheet1!$D$10)+$E$13*Sheet1!$D$9*(K13^Sheet1!$D$10)+$E$14*Sheet1!$D$9*(K14^Sheet1!$D$10)+$E$15*Sheet1!$D$9*(K15^Sheet1!$D$10)+$E$16*Sheet1!$D$9*(K16^Sheet1!$D$10)</f>
        <v>22500.18005504379</v>
      </c>
      <c r="L17">
        <f>$E$11*Sheet1!$D$9*(L11^Sheet1!$D$10)+$E$12*Sheet1!$D$9*(L12^Sheet1!$D$10)+$E$13*Sheet1!$D$9*(L13^Sheet1!$D$10)+$E$14*Sheet1!$D$9*(L14^Sheet1!$D$10)+$E$15*Sheet1!$D$9*(L15^Sheet1!$D$10)+$E$16*Sheet1!$D$9*(L16^Sheet1!$D$10)</f>
        <v>22119.885582673596</v>
      </c>
      <c r="M17">
        <f>$E$11*Sheet1!$D$9*(M11^Sheet1!$D$10)+$E$12*Sheet1!$D$9*(M12^Sheet1!$D$10)+$E$13*Sheet1!$D$9*(M13^Sheet1!$D$10)+$E$14*Sheet1!$D$9*(M14^Sheet1!$D$10)+$E$15*Sheet1!$D$9*(M15^Sheet1!$D$10)+$E$16*Sheet1!$D$9*(M16^Sheet1!$D$10)</f>
        <v>21427.888707092614</v>
      </c>
      <c r="N17">
        <f>$E$11*Sheet1!$D$9*(N11^Sheet1!$D$10)+$E$12*Sheet1!$D$9*(N12^Sheet1!$D$10)+$E$13*Sheet1!$D$9*(N13^Sheet1!$D$10)+$E$14*Sheet1!$D$9*(N14^Sheet1!$D$10)+$E$15*Sheet1!$D$9*(N15^Sheet1!$D$10)+$E$16*Sheet1!$D$9*(N16^Sheet1!$D$10)</f>
        <v>20812.659214692303</v>
      </c>
    </row>
    <row r="18" spans="2:14" ht="12.75">
      <c r="B18" t="s">
        <v>87</v>
      </c>
      <c r="C18">
        <v>0.12414365755194319</v>
      </c>
      <c r="H18" t="s">
        <v>94</v>
      </c>
      <c r="J18">
        <f>J17*$C$18</f>
        <v>3088.5997065284987</v>
      </c>
      <c r="K18">
        <f>K17*$C$18</f>
        <v>2793.2546476104185</v>
      </c>
      <c r="L18">
        <f>L17*$C$18</f>
        <v>2746.0435008635964</v>
      </c>
      <c r="M18">
        <f>M17*$C$18</f>
        <v>2660.1364777144563</v>
      </c>
      <c r="N18">
        <f>N17*$C$18</f>
        <v>2583.759638294056</v>
      </c>
    </row>
    <row r="19" spans="2:14" ht="12.75">
      <c r="B19" t="s">
        <v>88</v>
      </c>
      <c r="C19">
        <v>30</v>
      </c>
      <c r="H19" t="s">
        <v>95</v>
      </c>
      <c r="J19">
        <f>(9810*($F$11/1000)*J3/($C$21*1000))*$C$22*$C$20</f>
        <v>1934.1214892307692</v>
      </c>
      <c r="K19">
        <f>(9810*($F$11/1000)*K3/($C$21*1000))*$C$22*$C$20</f>
        <v>2149.0238769230773</v>
      </c>
      <c r="L19">
        <f>(9810*($F$11/1000)*L3/($C$21*1000))*$C$22*$C$20</f>
        <v>2192.0043544615387</v>
      </c>
      <c r="M19">
        <f>(9810*($F$11/1000)*M3/($C$21*1000))*$C$22*$C$20</f>
        <v>2277.9653095384615</v>
      </c>
      <c r="N19">
        <f>(9810*($F$11/1000)*N3/($C$21*1000))*$C$22*$C$20</f>
        <v>2363.9262646153843</v>
      </c>
    </row>
    <row r="20" spans="2:14" ht="12.75">
      <c r="B20" t="s">
        <v>89</v>
      </c>
      <c r="C20">
        <v>0.05933</v>
      </c>
      <c r="H20" t="s">
        <v>96</v>
      </c>
      <c r="J20">
        <f>SUM(J18:J19)</f>
        <v>5022.721195759268</v>
      </c>
      <c r="K20">
        <f>SUM(K18:K19)</f>
        <v>4942.278524533496</v>
      </c>
      <c r="L20">
        <f>SUM(L18:L19)</f>
        <v>4938.047855325135</v>
      </c>
      <c r="M20">
        <f>SUM(M18:M19)</f>
        <v>4938.101787252917</v>
      </c>
      <c r="N20">
        <f>SUM(N18:N19)</f>
        <v>4947.68590290944</v>
      </c>
    </row>
    <row r="21" spans="2:3" ht="12.75">
      <c r="B21" t="s">
        <v>90</v>
      </c>
      <c r="C21">
        <v>0.65</v>
      </c>
    </row>
    <row r="22" spans="2:3" ht="12.75">
      <c r="B22" t="s">
        <v>25</v>
      </c>
      <c r="C22">
        <v>2000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A.U.T.H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</dc:creator>
  <cp:keywords/>
  <dc:description/>
  <cp:lastModifiedBy>evangelides</cp:lastModifiedBy>
  <dcterms:created xsi:type="dcterms:W3CDTF">2008-03-17T09:50:28Z</dcterms:created>
  <dcterms:modified xsi:type="dcterms:W3CDTF">2013-05-22T16:03:25Z</dcterms:modified>
  <cp:category/>
  <cp:version/>
  <cp:contentType/>
  <cp:contentStatus/>
</cp:coreProperties>
</file>