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920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olver_adj" localSheetId="3" hidden="1">'Sheet4'!$E$11:$E$13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'Sheet4'!$H$8</definedName>
    <definedName name="solver_lhs2" localSheetId="3" hidden="1">'Sheet4'!$H$9</definedName>
    <definedName name="solver_lhs3" localSheetId="3" hidden="1">'Sheet4'!$H$10</definedName>
    <definedName name="solver_lhs4" localSheetId="3" hidden="1">'Sheet4'!$E$5</definedName>
    <definedName name="solver_lhs5" localSheetId="3" hidden="1">'Sheet4'!$E$6</definedName>
    <definedName name="solver_lhs6" localSheetId="3" hidden="1">'Sheet4'!$E$7</definedName>
    <definedName name="solver_lhs7" localSheetId="3" hidden="1">'Sheet4'!$E$11</definedName>
    <definedName name="solver_lhs8" localSheetId="3" hidden="1">'Sheet4'!$E$12</definedName>
    <definedName name="solver_lhs9" localSheetId="3" hidden="1">'Sheet4'!$E$13</definedName>
    <definedName name="solver_lin" localSheetId="3" hidden="1">2</definedName>
    <definedName name="solver_neg" localSheetId="3" hidden="1">2</definedName>
    <definedName name="solver_num" localSheetId="3" hidden="1">9</definedName>
    <definedName name="solver_nwt" localSheetId="3" hidden="1">1</definedName>
    <definedName name="solver_opt" localSheetId="3" hidden="1">'Sheet4'!$J$19</definedName>
    <definedName name="solver_pre" localSheetId="3" hidden="1">0.000001</definedName>
    <definedName name="solver_rel1" localSheetId="3" hidden="1">2</definedName>
    <definedName name="solver_rel2" localSheetId="3" hidden="1">2</definedName>
    <definedName name="solver_rel3" localSheetId="3" hidden="1">2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'Sheet4'!$E$8</definedName>
    <definedName name="solver_rhs2" localSheetId="3" hidden="1">'Sheet4'!$E$9</definedName>
    <definedName name="solver_rhs3" localSheetId="3" hidden="1">'Sheet4'!$E$10</definedName>
    <definedName name="solver_rhs4" localSheetId="3" hidden="1">2</definedName>
    <definedName name="solver_rhs5" localSheetId="3" hidden="1">2</definedName>
    <definedName name="solver_rhs6" localSheetId="3" hidden="1">2</definedName>
    <definedName name="solver_rhs7" localSheetId="3" hidden="1">0.06</definedName>
    <definedName name="solver_rhs8" localSheetId="3" hidden="1">0.06</definedName>
    <definedName name="solver_rhs9" localSheetId="3" hidden="1">0.06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Δ1">'Sheet4'!$E$11</definedName>
    <definedName name="Δ2">'Sheet4'!$E$12</definedName>
    <definedName name="Δ3">'Sheet4'!$E$13</definedName>
    <definedName name="Λ1">'Sheet4'!$E$14</definedName>
    <definedName name="Λ2">'Sheet4'!$E$15</definedName>
    <definedName name="Λ3">'Sheet4'!$E$16</definedName>
    <definedName name="ο1">'Sheet4'!$E$8</definedName>
    <definedName name="ο2">'Sheet4'!$E$9</definedName>
    <definedName name="ο3">'Sheet4'!$E$10</definedName>
    <definedName name="ταχ1">'Sheet4'!$E$5</definedName>
    <definedName name="ταχ2">'Sheet4'!$E$6</definedName>
    <definedName name="ταχ3">'Sheet4'!$E$7</definedName>
  </definedNames>
  <calcPr fullCalcOnLoad="1"/>
</workbook>
</file>

<file path=xl/sharedStrings.xml><?xml version="1.0" encoding="utf-8"?>
<sst xmlns="http://schemas.openxmlformats.org/spreadsheetml/2006/main" count="107" uniqueCount="83">
  <si>
    <t>C0=</t>
  </si>
  <si>
    <t>1.6465/f^0.2</t>
  </si>
  <si>
    <t>z=</t>
  </si>
  <si>
    <t>ν/(yν+2+x)</t>
  </si>
  <si>
    <t>ω=</t>
  </si>
  <si>
    <t>(yν+2+x)/(2+x)</t>
  </si>
  <si>
    <t>δh=</t>
  </si>
  <si>
    <t>(A/C0^ν)^1/ω*l*Q^z</t>
  </si>
  <si>
    <t>D=</t>
  </si>
  <si>
    <t>1/C0*(Q*(l/δh)^y)^(1/(x+2))</t>
  </si>
  <si>
    <t>ΣΤΟΙΧΕΙΑ</t>
  </si>
  <si>
    <t>f=</t>
  </si>
  <si>
    <t>x=</t>
  </si>
  <si>
    <t>y=</t>
  </si>
  <si>
    <t>m</t>
  </si>
  <si>
    <t>l/s</t>
  </si>
  <si>
    <t>m^3/s</t>
  </si>
  <si>
    <t>A=</t>
  </si>
  <si>
    <t>ν=</t>
  </si>
  <si>
    <t>Φ1=</t>
  </si>
  <si>
    <t>Φ2=</t>
  </si>
  <si>
    <t>Φ3=</t>
  </si>
  <si>
    <t>αγωγ1</t>
  </si>
  <si>
    <t>l1=</t>
  </si>
  <si>
    <t>Q1=</t>
  </si>
  <si>
    <t>l2=</t>
  </si>
  <si>
    <t>l3=</t>
  </si>
  <si>
    <t>Q2</t>
  </si>
  <si>
    <t>Q3=</t>
  </si>
  <si>
    <t>(A/co^n)^(1/ω)</t>
  </si>
  <si>
    <t>SUM</t>
  </si>
  <si>
    <t>H αρχικο</t>
  </si>
  <si>
    <t>Δh</t>
  </si>
  <si>
    <t>Δh1</t>
  </si>
  <si>
    <t>Δh2</t>
  </si>
  <si>
    <t>Δh3</t>
  </si>
  <si>
    <t>D1</t>
  </si>
  <si>
    <t>D2</t>
  </si>
  <si>
    <t>D3</t>
  </si>
  <si>
    <t>κοστος σωλ</t>
  </si>
  <si>
    <t>κοστος/χρονο</t>
  </si>
  <si>
    <t>ε=</t>
  </si>
  <si>
    <t>κοστος αντλιο</t>
  </si>
  <si>
    <t>KW</t>
  </si>
  <si>
    <t>KWh</t>
  </si>
  <si>
    <t>N=</t>
  </si>
  <si>
    <t>β=</t>
  </si>
  <si>
    <t>n=</t>
  </si>
  <si>
    <t>eur</t>
  </si>
  <si>
    <t>ΣΥΝΟΛΟ</t>
  </si>
  <si>
    <t>Q= m3/s</t>
  </si>
  <si>
    <t>D= mm</t>
  </si>
  <si>
    <t>L=m</t>
  </si>
  <si>
    <t>V=</t>
  </si>
  <si>
    <t>Re=</t>
  </si>
  <si>
    <t>δη=</t>
  </si>
  <si>
    <t>Φ200</t>
  </si>
  <si>
    <t>εσωτ διαμ</t>
  </si>
  <si>
    <t>Q</t>
  </si>
  <si>
    <t>μετρα</t>
  </si>
  <si>
    <t>Φ225</t>
  </si>
  <si>
    <t>Φ140</t>
  </si>
  <si>
    <t>H</t>
  </si>
  <si>
    <t xml:space="preserve">αντλια με μαν </t>
  </si>
  <si>
    <t>κοστος σωλ=</t>
  </si>
  <si>
    <t>v1</t>
  </si>
  <si>
    <t>v2</t>
  </si>
  <si>
    <t>v3</t>
  </si>
  <si>
    <t>Q1</t>
  </si>
  <si>
    <t>Q3</t>
  </si>
  <si>
    <t>Δ1</t>
  </si>
  <si>
    <t>Δ2</t>
  </si>
  <si>
    <t>Δ3</t>
  </si>
  <si>
    <t>l1</t>
  </si>
  <si>
    <t>l2</t>
  </si>
  <si>
    <t>l3</t>
  </si>
  <si>
    <t>Α=</t>
  </si>
  <si>
    <t>Q2=</t>
  </si>
  <si>
    <t>Δη=</t>
  </si>
  <si>
    <t>kost antlio</t>
  </si>
  <si>
    <t>Επιλυση solver με τρεις αγωγους</t>
  </si>
  <si>
    <t>ολικο κοστος σωληνωσεων</t>
  </si>
  <si>
    <t>ολικο κοστος σωληνωσεων/χρονο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</si>
</sst>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Sheet1!$G$8:$G$20</c:f>
              <c:numCache>
                <c:ptCount val="1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</c:numCache>
            </c:numRef>
          </c:xVal>
          <c:yVal>
            <c:numRef>
              <c:f>Sheet1!$U$8:$U$20</c:f>
              <c:numCache>
                <c:ptCount val="13"/>
                <c:pt idx="0">
                  <c:v>10871.565653023772</c:v>
                </c:pt>
                <c:pt idx="1">
                  <c:v>10603.947269282557</c:v>
                </c:pt>
                <c:pt idx="2">
                  <c:v>10364.228792047546</c:v>
                </c:pt>
                <c:pt idx="3">
                  <c:v>10147.93940422666</c:v>
                </c:pt>
                <c:pt idx="4">
                  <c:v>9951.564650578513</c:v>
                </c:pt>
                <c:pt idx="5">
                  <c:v>9772.296680625686</c:v>
                </c:pt>
                <c:pt idx="6">
                  <c:v>9607.860181926879</c:v>
                </c:pt>
                <c:pt idx="7">
                  <c:v>9456.388233025775</c:v>
                </c:pt>
                <c:pt idx="8">
                  <c:v>9316.331946024644</c:v>
                </c:pt>
                <c:pt idx="9">
                  <c:v>9186.39351011239</c:v>
                </c:pt>
                <c:pt idx="10">
                  <c:v>9065.475774083805</c:v>
                </c:pt>
                <c:pt idx="11">
                  <c:v>8952.643732374641</c:v>
                </c:pt>
                <c:pt idx="12">
                  <c:v>8847.094719529983</c:v>
                </c:pt>
              </c:numCache>
            </c:numRef>
          </c:yVal>
          <c:smooth val="0"/>
        </c:ser>
        <c:axId val="30580908"/>
        <c:axId val="6792717"/>
      </c:scatterChart>
      <c:val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crossBetween val="midCat"/>
        <c:dispUnits/>
      </c:valAx>
      <c:valAx>
        <c:axId val="679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20</xdr:row>
      <xdr:rowOff>76200</xdr:rowOff>
    </xdr:from>
    <xdr:to>
      <xdr:col>18</xdr:col>
      <xdr:colOff>400050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6296025" y="3314700"/>
        <a:ext cx="3733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4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4.8515625" style="0" customWidth="1"/>
    <col min="3" max="3" width="16.8515625" style="0" customWidth="1"/>
    <col min="4" max="4" width="8.7109375" style="0" customWidth="1"/>
    <col min="6" max="6" width="6.140625" style="0" customWidth="1"/>
    <col min="7" max="7" width="6.8515625" style="0" customWidth="1"/>
    <col min="8" max="8" width="6.140625" style="0" customWidth="1"/>
    <col min="13" max="13" width="6.28125" style="0" customWidth="1"/>
    <col min="14" max="14" width="7.28125" style="0" customWidth="1"/>
    <col min="17" max="17" width="1.421875" style="0" customWidth="1"/>
    <col min="18" max="18" width="6.7109375" style="0" customWidth="1"/>
    <col min="19" max="19" width="7.8515625" style="0" customWidth="1"/>
  </cols>
  <sheetData>
    <row r="2" ht="12.75">
      <c r="C2" t="s">
        <v>10</v>
      </c>
    </row>
    <row r="4" ht="12.75">
      <c r="C4" t="s">
        <v>22</v>
      </c>
    </row>
    <row r="5" spans="2:18" ht="12.75">
      <c r="B5" t="s">
        <v>11</v>
      </c>
      <c r="C5">
        <v>0.013</v>
      </c>
      <c r="O5" t="s">
        <v>39</v>
      </c>
      <c r="P5" t="s">
        <v>40</v>
      </c>
      <c r="R5" t="s">
        <v>42</v>
      </c>
    </row>
    <row r="6" spans="2:21" ht="12.75">
      <c r="B6" t="s">
        <v>12</v>
      </c>
      <c r="C6">
        <v>0.5</v>
      </c>
      <c r="R6" t="s">
        <v>43</v>
      </c>
      <c r="S6" t="s">
        <v>44</v>
      </c>
      <c r="T6" t="s">
        <v>48</v>
      </c>
      <c r="U6" t="s">
        <v>49</v>
      </c>
    </row>
    <row r="7" spans="2:22" ht="12.75">
      <c r="B7" t="s">
        <v>13</v>
      </c>
      <c r="C7">
        <v>0.5</v>
      </c>
      <c r="G7" t="s">
        <v>31</v>
      </c>
      <c r="H7" t="s">
        <v>32</v>
      </c>
      <c r="I7" t="s">
        <v>33</v>
      </c>
      <c r="J7" t="s">
        <v>34</v>
      </c>
      <c r="K7" t="s">
        <v>35</v>
      </c>
      <c r="L7" t="s">
        <v>36</v>
      </c>
      <c r="M7" t="s">
        <v>37</v>
      </c>
      <c r="N7" t="s">
        <v>38</v>
      </c>
      <c r="V7" s="3"/>
    </row>
    <row r="8" spans="2:22" ht="12.75">
      <c r="B8" t="s">
        <v>23</v>
      </c>
      <c r="C8">
        <v>5000</v>
      </c>
      <c r="D8" t="s">
        <v>14</v>
      </c>
      <c r="G8" s="7">
        <v>42</v>
      </c>
      <c r="H8" s="7">
        <f aca="true" t="shared" si="0" ref="H8:H20">G8-30</f>
        <v>12</v>
      </c>
      <c r="I8" s="8">
        <f aca="true" t="shared" si="1" ref="I8:I20">H8*F$26</f>
        <v>9.500480117181928</v>
      </c>
      <c r="J8" s="8">
        <f aca="true" t="shared" si="2" ref="J8:J20">H8*F$27</f>
        <v>1.377281972756394</v>
      </c>
      <c r="K8" s="8">
        <f aca="true" t="shared" si="3" ref="K8:K20">H8*F$28</f>
        <v>1.1222379100616784</v>
      </c>
      <c r="L8" s="8">
        <f aca="true" t="shared" si="4" ref="L8:L20">(1/D$21)*((C$12*((C$8/I8)^C$7))^(1/(C$6+2)))</f>
        <v>0.13144068875799567</v>
      </c>
      <c r="M8" s="8">
        <f aca="true" t="shared" si="5" ref="M8:M20">(1/D$21)*((C$14*((C$9/J8)^C$7))^(1/(C$6+2)))</f>
        <v>0.14646205091878492</v>
      </c>
      <c r="N8" s="8">
        <f aca="true" t="shared" si="6" ref="N8:N20">(1/D$21)*((C$16*((C$10/K8)^C$7))^(1/(C$6+2)))</f>
        <v>0.11925869603267027</v>
      </c>
      <c r="O8" s="7">
        <f>$C$8*$C$17*(L8^$C$18)+$C$9*$C$17*(M8^C$18)+$C$10*$C$17*(N8^C$18)</f>
        <v>82525.50266146469</v>
      </c>
      <c r="P8" s="7">
        <f>$I$24*O8</f>
        <v>10245.01774170685</v>
      </c>
      <c r="R8" s="6">
        <f>(9810*$C$12*G8)/($I$27*1000)</f>
        <v>5.28019476923077</v>
      </c>
      <c r="S8" s="7">
        <f>R8*$I$28</f>
        <v>10560.389538461539</v>
      </c>
      <c r="T8" s="9">
        <f>S8*$I$26</f>
        <v>626.5479113169231</v>
      </c>
      <c r="U8" s="9">
        <f>P8+T8</f>
        <v>10871.565653023772</v>
      </c>
      <c r="V8" s="3"/>
    </row>
    <row r="9" spans="2:22" ht="12.75">
      <c r="B9" t="s">
        <v>25</v>
      </c>
      <c r="C9">
        <v>600</v>
      </c>
      <c r="D9" t="s">
        <v>14</v>
      </c>
      <c r="G9" s="7">
        <v>43</v>
      </c>
      <c r="H9" s="7">
        <f t="shared" si="0"/>
        <v>13</v>
      </c>
      <c r="I9" s="8">
        <f t="shared" si="1"/>
        <v>10.292186793613755</v>
      </c>
      <c r="J9" s="8">
        <f t="shared" si="2"/>
        <v>1.4920554704860935</v>
      </c>
      <c r="K9" s="8">
        <f t="shared" si="3"/>
        <v>1.2157577359001515</v>
      </c>
      <c r="L9" s="8">
        <f t="shared" si="4"/>
        <v>0.12935326789348126</v>
      </c>
      <c r="M9" s="8">
        <f t="shared" si="5"/>
        <v>0.14413607451196356</v>
      </c>
      <c r="N9" s="8">
        <f t="shared" si="6"/>
        <v>0.11736473844065151</v>
      </c>
      <c r="O9" s="7">
        <f aca="true" t="shared" si="7" ref="O9:O20">$C$8*$C$17*(L9^$C$18)+$C$9*$C$17*(M9^C$18)+$C$10*$C$17*(N9^C$18)</f>
        <v>80249.62166419903</v>
      </c>
      <c r="P9" s="7">
        <f aca="true" t="shared" si="8" ref="P9:P20">$I$24*O9</f>
        <v>9962.481550553326</v>
      </c>
      <c r="Q9" s="8" t="e">
        <f>(1/G$21)*((F$16*((F$10/N9)^F$7))^(1/(F$6+2)))</f>
        <v>#DIV/0!</v>
      </c>
      <c r="R9" s="6">
        <f aca="true" t="shared" si="9" ref="R9:R20">(9810*$C$12*G9)/($I$27*1000)</f>
        <v>5.405913692307693</v>
      </c>
      <c r="S9" s="7">
        <f aca="true" t="shared" si="10" ref="S9:S20">R9*$I$28</f>
        <v>10811.827384615386</v>
      </c>
      <c r="T9" s="9">
        <f aca="true" t="shared" si="11" ref="T9:T20">S9*$I$26</f>
        <v>641.4657187292308</v>
      </c>
      <c r="U9" s="9">
        <f aca="true" t="shared" si="12" ref="U9:U20">P9+T9</f>
        <v>10603.947269282557</v>
      </c>
      <c r="V9" s="3"/>
    </row>
    <row r="10" spans="2:22" ht="12.75">
      <c r="B10" t="s">
        <v>26</v>
      </c>
      <c r="C10">
        <v>700</v>
      </c>
      <c r="D10" t="s">
        <v>14</v>
      </c>
      <c r="G10" s="7">
        <v>44</v>
      </c>
      <c r="H10" s="7">
        <f t="shared" si="0"/>
        <v>14</v>
      </c>
      <c r="I10" s="8">
        <f t="shared" si="1"/>
        <v>11.083893470045583</v>
      </c>
      <c r="J10" s="8">
        <f t="shared" si="2"/>
        <v>1.606828968215793</v>
      </c>
      <c r="K10" s="8">
        <f t="shared" si="3"/>
        <v>1.3092775617386248</v>
      </c>
      <c r="L10" s="8">
        <f t="shared" si="4"/>
        <v>0.1274501844230891</v>
      </c>
      <c r="M10" s="8">
        <f t="shared" si="5"/>
        <v>0.1420155020257949</v>
      </c>
      <c r="N10" s="8">
        <f t="shared" si="6"/>
        <v>0.11563803375533017</v>
      </c>
      <c r="O10" s="7">
        <f t="shared" si="7"/>
        <v>78198.47954652157</v>
      </c>
      <c r="P10" s="7">
        <f t="shared" si="8"/>
        <v>9707.845265906008</v>
      </c>
      <c r="Q10" s="7"/>
      <c r="R10" s="6">
        <f t="shared" si="9"/>
        <v>5.531632615384616</v>
      </c>
      <c r="S10" s="7">
        <f t="shared" si="10"/>
        <v>11063.265230769233</v>
      </c>
      <c r="T10" s="9">
        <f t="shared" si="11"/>
        <v>656.3835261415386</v>
      </c>
      <c r="U10" s="9">
        <f t="shared" si="12"/>
        <v>10364.228792047546</v>
      </c>
      <c r="V10" s="3"/>
    </row>
    <row r="11" spans="2:22" ht="12.75">
      <c r="B11" t="s">
        <v>24</v>
      </c>
      <c r="C11">
        <v>8.33</v>
      </c>
      <c r="D11" t="s">
        <v>15</v>
      </c>
      <c r="G11" s="7">
        <v>45</v>
      </c>
      <c r="H11" s="7">
        <f t="shared" si="0"/>
        <v>15</v>
      </c>
      <c r="I11" s="8">
        <f t="shared" si="1"/>
        <v>11.87560014647741</v>
      </c>
      <c r="J11" s="8">
        <f t="shared" si="2"/>
        <v>1.7216024659454925</v>
      </c>
      <c r="K11" s="8">
        <f t="shared" si="3"/>
        <v>1.4027973875770978</v>
      </c>
      <c r="L11" s="8">
        <f t="shared" si="4"/>
        <v>0.12570363126783338</v>
      </c>
      <c r="M11" s="8">
        <f t="shared" si="5"/>
        <v>0.14006934852055566</v>
      </c>
      <c r="N11" s="8">
        <f t="shared" si="6"/>
        <v>0.11405335207254438</v>
      </c>
      <c r="O11" s="7">
        <f t="shared" si="7"/>
        <v>76336.0630542698</v>
      </c>
      <c r="P11" s="7">
        <f t="shared" si="8"/>
        <v>9476.638070672814</v>
      </c>
      <c r="Q11" s="7"/>
      <c r="R11" s="6">
        <f t="shared" si="9"/>
        <v>5.657351538461539</v>
      </c>
      <c r="S11" s="7">
        <f t="shared" si="10"/>
        <v>11314.703076923077</v>
      </c>
      <c r="T11" s="9">
        <f t="shared" si="11"/>
        <v>671.3013335538461</v>
      </c>
      <c r="U11" s="9">
        <f t="shared" si="12"/>
        <v>10147.93940422666</v>
      </c>
      <c r="V11" s="3"/>
    </row>
    <row r="12" spans="3:22" ht="12.75">
      <c r="C12">
        <f>C11/1000</f>
        <v>0.00833</v>
      </c>
      <c r="D12" t="s">
        <v>16</v>
      </c>
      <c r="G12" s="7">
        <v>46</v>
      </c>
      <c r="H12" s="7">
        <f t="shared" si="0"/>
        <v>16</v>
      </c>
      <c r="I12" s="8">
        <f t="shared" si="1"/>
        <v>12.667306822909238</v>
      </c>
      <c r="J12" s="8">
        <f t="shared" si="2"/>
        <v>1.836375963675192</v>
      </c>
      <c r="K12" s="8">
        <f t="shared" si="3"/>
        <v>1.4963172134155711</v>
      </c>
      <c r="L12" s="8">
        <f t="shared" si="4"/>
        <v>0.12409151273242396</v>
      </c>
      <c r="M12" s="8">
        <f t="shared" si="5"/>
        <v>0.1382729931510629</v>
      </c>
      <c r="N12" s="8">
        <f t="shared" si="6"/>
        <v>0.11259064553775887</v>
      </c>
      <c r="O12" s="7">
        <f t="shared" si="7"/>
        <v>74634.06260392827</v>
      </c>
      <c r="P12" s="7">
        <f t="shared" si="8"/>
        <v>9265.34550961236</v>
      </c>
      <c r="R12" s="6">
        <f t="shared" si="9"/>
        <v>5.783070461538462</v>
      </c>
      <c r="S12" s="7">
        <f t="shared" si="10"/>
        <v>11566.140923076924</v>
      </c>
      <c r="T12" s="9">
        <f t="shared" si="11"/>
        <v>686.2191409661539</v>
      </c>
      <c r="U12" s="9">
        <f t="shared" si="12"/>
        <v>9951.564650578513</v>
      </c>
      <c r="V12" s="3"/>
    </row>
    <row r="13" spans="2:22" ht="12.75">
      <c r="B13" t="s">
        <v>27</v>
      </c>
      <c r="C13">
        <v>12</v>
      </c>
      <c r="D13" t="s">
        <v>15</v>
      </c>
      <c r="G13" s="7">
        <v>47</v>
      </c>
      <c r="H13" s="7">
        <f t="shared" si="0"/>
        <v>17</v>
      </c>
      <c r="I13" s="8">
        <f t="shared" si="1"/>
        <v>13.459013499341065</v>
      </c>
      <c r="J13" s="8">
        <f t="shared" si="2"/>
        <v>1.9511494614048914</v>
      </c>
      <c r="K13" s="8">
        <f t="shared" si="3"/>
        <v>1.5898370392540444</v>
      </c>
      <c r="L13" s="8">
        <f t="shared" si="4"/>
        <v>0.12259599735358093</v>
      </c>
      <c r="M13" s="8">
        <f t="shared" si="5"/>
        <v>0.13660656663096749</v>
      </c>
      <c r="N13" s="8">
        <f t="shared" si="6"/>
        <v>0.111233735317165</v>
      </c>
      <c r="O13" s="7">
        <f t="shared" si="7"/>
        <v>73069.8604433476</v>
      </c>
      <c r="P13" s="7">
        <f t="shared" si="8"/>
        <v>9071.159732247224</v>
      </c>
      <c r="R13" s="6">
        <f t="shared" si="9"/>
        <v>5.908789384615385</v>
      </c>
      <c r="S13" s="7">
        <f t="shared" si="10"/>
        <v>11817.578769230771</v>
      </c>
      <c r="T13" s="9">
        <f t="shared" si="11"/>
        <v>701.1369483784616</v>
      </c>
      <c r="U13" s="9">
        <f t="shared" si="12"/>
        <v>9772.296680625686</v>
      </c>
      <c r="V13" s="3"/>
    </row>
    <row r="14" spans="3:22" ht="12.75">
      <c r="C14">
        <v>0.012</v>
      </c>
      <c r="D14" t="s">
        <v>16</v>
      </c>
      <c r="G14" s="7">
        <v>48</v>
      </c>
      <c r="H14" s="7">
        <f t="shared" si="0"/>
        <v>18</v>
      </c>
      <c r="I14" s="8">
        <f t="shared" si="1"/>
        <v>14.250720175772893</v>
      </c>
      <c r="J14" s="8">
        <f t="shared" si="2"/>
        <v>2.065922959134591</v>
      </c>
      <c r="K14" s="8">
        <f t="shared" si="3"/>
        <v>1.6833568650925175</v>
      </c>
      <c r="L14" s="8">
        <f t="shared" si="4"/>
        <v>0.1212024989943552</v>
      </c>
      <c r="M14" s="8">
        <f t="shared" si="5"/>
        <v>0.13505381588405124</v>
      </c>
      <c r="N14" s="8">
        <f t="shared" si="6"/>
        <v>0.10996938712471979</v>
      </c>
      <c r="O14" s="7">
        <f t="shared" si="7"/>
        <v>71625.12851222925</v>
      </c>
      <c r="P14" s="7">
        <f t="shared" si="8"/>
        <v>8891.80542613611</v>
      </c>
      <c r="R14" s="6">
        <f t="shared" si="9"/>
        <v>6.034508307692308</v>
      </c>
      <c r="S14" s="7">
        <f t="shared" si="10"/>
        <v>12069.016615384615</v>
      </c>
      <c r="T14" s="9">
        <f t="shared" si="11"/>
        <v>716.0547557907693</v>
      </c>
      <c r="U14" s="9">
        <f t="shared" si="12"/>
        <v>9607.860181926879</v>
      </c>
      <c r="V14" s="3"/>
    </row>
    <row r="15" spans="2:22" ht="12.75">
      <c r="B15" t="s">
        <v>28</v>
      </c>
      <c r="C15">
        <v>6</v>
      </c>
      <c r="D15" t="s">
        <v>15</v>
      </c>
      <c r="G15" s="7">
        <v>49</v>
      </c>
      <c r="H15" s="7">
        <f t="shared" si="0"/>
        <v>19</v>
      </c>
      <c r="I15" s="8">
        <f t="shared" si="1"/>
        <v>15.04242685220472</v>
      </c>
      <c r="J15" s="8">
        <f t="shared" si="2"/>
        <v>2.1806964568642906</v>
      </c>
      <c r="K15" s="8">
        <f t="shared" si="3"/>
        <v>1.7768766909309908</v>
      </c>
      <c r="L15" s="8">
        <f t="shared" si="4"/>
        <v>0.1198989431941194</v>
      </c>
      <c r="M15" s="8">
        <f t="shared" si="5"/>
        <v>0.13360128655090742</v>
      </c>
      <c r="N15" s="8">
        <f t="shared" si="6"/>
        <v>0.1087866455672088</v>
      </c>
      <c r="O15" s="7">
        <f t="shared" si="7"/>
        <v>70284.82841478937</v>
      </c>
      <c r="P15" s="7">
        <f t="shared" si="8"/>
        <v>8725.415669822698</v>
      </c>
      <c r="R15" s="6">
        <f t="shared" si="9"/>
        <v>6.160227230769231</v>
      </c>
      <c r="S15" s="7">
        <f t="shared" si="10"/>
        <v>12320.454461538462</v>
      </c>
      <c r="T15" s="9">
        <f t="shared" si="11"/>
        <v>730.972563203077</v>
      </c>
      <c r="U15" s="9">
        <f t="shared" si="12"/>
        <v>9456.388233025775</v>
      </c>
      <c r="V15" s="3"/>
    </row>
    <row r="16" spans="3:22" ht="12.75">
      <c r="C16">
        <v>0.006</v>
      </c>
      <c r="D16" t="s">
        <v>16</v>
      </c>
      <c r="G16" s="4">
        <v>50</v>
      </c>
      <c r="H16" s="4">
        <f t="shared" si="0"/>
        <v>20</v>
      </c>
      <c r="I16" s="5">
        <f t="shared" si="1"/>
        <v>15.834133528636547</v>
      </c>
      <c r="J16" s="5">
        <f t="shared" si="2"/>
        <v>2.29546995459399</v>
      </c>
      <c r="K16" s="5">
        <f t="shared" si="3"/>
        <v>1.8703965167694638</v>
      </c>
      <c r="L16" s="5">
        <f t="shared" si="4"/>
        <v>0.11867522840438083</v>
      </c>
      <c r="M16" s="5">
        <f t="shared" si="5"/>
        <v>0.13223772265346964</v>
      </c>
      <c r="N16" s="5">
        <f t="shared" si="6"/>
        <v>0.10767634531300965</v>
      </c>
      <c r="O16" s="4">
        <f t="shared" si="7"/>
        <v>69036.48357406647</v>
      </c>
      <c r="P16" s="4">
        <f t="shared" si="8"/>
        <v>8570.441575409259</v>
      </c>
      <c r="Q16" s="4"/>
      <c r="R16" s="6">
        <f t="shared" si="9"/>
        <v>6.2859461538461545</v>
      </c>
      <c r="S16" s="4">
        <f t="shared" si="10"/>
        <v>12571.89230769231</v>
      </c>
      <c r="T16" s="6">
        <f t="shared" si="11"/>
        <v>745.8903706153848</v>
      </c>
      <c r="U16" s="6">
        <f t="shared" si="12"/>
        <v>9316.331946024644</v>
      </c>
      <c r="V16" s="3"/>
    </row>
    <row r="17" spans="2:22" ht="12.75">
      <c r="B17" t="s">
        <v>17</v>
      </c>
      <c r="C17">
        <v>452.55706373882975</v>
      </c>
      <c r="G17" s="7">
        <v>51</v>
      </c>
      <c r="H17" s="7">
        <f t="shared" si="0"/>
        <v>21</v>
      </c>
      <c r="I17" s="8">
        <f t="shared" si="1"/>
        <v>16.625840205068375</v>
      </c>
      <c r="J17" s="8">
        <f t="shared" si="2"/>
        <v>2.4102434523236895</v>
      </c>
      <c r="K17" s="8">
        <f t="shared" si="3"/>
        <v>1.9639163426079371</v>
      </c>
      <c r="L17" s="8">
        <f t="shared" si="4"/>
        <v>0.11752282337633575</v>
      </c>
      <c r="M17" s="8">
        <f t="shared" si="5"/>
        <v>0.1309536179710348</v>
      </c>
      <c r="N17" s="8">
        <f t="shared" si="6"/>
        <v>0.10663074579398103</v>
      </c>
      <c r="O17" s="7">
        <f t="shared" si="7"/>
        <v>67869.63988522194</v>
      </c>
      <c r="P17" s="7">
        <f t="shared" si="8"/>
        <v>8425.585332084698</v>
      </c>
      <c r="R17" s="6">
        <f t="shared" si="9"/>
        <v>6.411665076923077</v>
      </c>
      <c r="S17" s="7">
        <f t="shared" si="10"/>
        <v>12823.330153846155</v>
      </c>
      <c r="T17" s="9">
        <f t="shared" si="11"/>
        <v>760.8081780276924</v>
      </c>
      <c r="U17" s="9">
        <f t="shared" si="12"/>
        <v>9186.39351011239</v>
      </c>
      <c r="V17" s="3"/>
    </row>
    <row r="18" spans="2:22" ht="12.75">
      <c r="B18" t="s">
        <v>18</v>
      </c>
      <c r="C18">
        <v>1.7469</v>
      </c>
      <c r="G18" s="7">
        <v>52</v>
      </c>
      <c r="H18" s="7">
        <f t="shared" si="0"/>
        <v>22</v>
      </c>
      <c r="I18" s="8">
        <f t="shared" si="1"/>
        <v>17.4175468815002</v>
      </c>
      <c r="J18" s="8">
        <f t="shared" si="2"/>
        <v>2.5250169500533888</v>
      </c>
      <c r="K18" s="8">
        <f t="shared" si="3"/>
        <v>2.05743616844641</v>
      </c>
      <c r="L18" s="8">
        <f t="shared" si="4"/>
        <v>0.11643446157207696</v>
      </c>
      <c r="M18" s="8">
        <f t="shared" si="5"/>
        <v>0.1297408755280391</v>
      </c>
      <c r="N18" s="8">
        <f t="shared" si="6"/>
        <v>0.10564325393880182</v>
      </c>
      <c r="O18" s="7">
        <f t="shared" si="7"/>
        <v>66775.45959345748</v>
      </c>
      <c r="P18" s="7">
        <f t="shared" si="8"/>
        <v>8289.749788643805</v>
      </c>
      <c r="R18" s="6">
        <f t="shared" si="9"/>
        <v>6.537384</v>
      </c>
      <c r="S18" s="7">
        <f t="shared" si="10"/>
        <v>13074.768</v>
      </c>
      <c r="T18" s="9">
        <f t="shared" si="11"/>
        <v>775.72598544</v>
      </c>
      <c r="U18" s="9">
        <f t="shared" si="12"/>
        <v>9065.475774083805</v>
      </c>
      <c r="V18" s="3"/>
    </row>
    <row r="19" spans="3:22" ht="12.75">
      <c r="C19" t="s">
        <v>29</v>
      </c>
      <c r="D19">
        <f>(C17/(D21^C18))^(1/D23)</f>
        <v>15.8261005604077</v>
      </c>
      <c r="G19" s="7">
        <v>53</v>
      </c>
      <c r="H19" s="7">
        <f t="shared" si="0"/>
        <v>23</v>
      </c>
      <c r="I19" s="8">
        <f t="shared" si="1"/>
        <v>18.20925355793203</v>
      </c>
      <c r="J19" s="8">
        <f t="shared" si="2"/>
        <v>2.6397904477830885</v>
      </c>
      <c r="K19" s="8">
        <f t="shared" si="3"/>
        <v>2.1509559942848835</v>
      </c>
      <c r="L19" s="8">
        <f t="shared" si="4"/>
        <v>0.11540390595305053</v>
      </c>
      <c r="M19" s="8">
        <f t="shared" si="5"/>
        <v>0.12859254550196633</v>
      </c>
      <c r="N19" s="8">
        <f t="shared" si="6"/>
        <v>0.10470821076095818</v>
      </c>
      <c r="O19" s="7">
        <f t="shared" si="7"/>
        <v>65746.41105694228</v>
      </c>
      <c r="P19" s="7">
        <f t="shared" si="8"/>
        <v>8161.999939522333</v>
      </c>
      <c r="R19" s="6">
        <f t="shared" si="9"/>
        <v>6.663102923076924</v>
      </c>
      <c r="S19" s="7">
        <f t="shared" si="10"/>
        <v>13326.205846153847</v>
      </c>
      <c r="T19" s="9">
        <f t="shared" si="11"/>
        <v>790.6437928523078</v>
      </c>
      <c r="U19" s="9">
        <f t="shared" si="12"/>
        <v>8952.643732374641</v>
      </c>
      <c r="V19" s="3"/>
    </row>
    <row r="20" spans="7:22" ht="12.75">
      <c r="G20" s="7">
        <v>54</v>
      </c>
      <c r="H20" s="7">
        <f t="shared" si="0"/>
        <v>24</v>
      </c>
      <c r="I20" s="2">
        <f t="shared" si="1"/>
        <v>19.000960234363856</v>
      </c>
      <c r="J20" s="2">
        <f t="shared" si="2"/>
        <v>2.754563945512788</v>
      </c>
      <c r="K20" s="2">
        <f t="shared" si="3"/>
        <v>2.244475820123357</v>
      </c>
      <c r="L20" s="2">
        <f t="shared" si="4"/>
        <v>0.11442576563830366</v>
      </c>
      <c r="M20" s="2">
        <f t="shared" si="5"/>
        <v>0.12750262092885384</v>
      </c>
      <c r="N20" s="2">
        <f t="shared" si="6"/>
        <v>0.10382072500920234</v>
      </c>
      <c r="O20" s="7">
        <f t="shared" si="7"/>
        <v>64776.028657772506</v>
      </c>
      <c r="P20" s="7">
        <f t="shared" si="8"/>
        <v>8041.533119265368</v>
      </c>
      <c r="R20" s="3">
        <f t="shared" si="9"/>
        <v>6.788821846153847</v>
      </c>
      <c r="S20" s="7">
        <f t="shared" si="10"/>
        <v>13577.643692307694</v>
      </c>
      <c r="T20" s="9">
        <f t="shared" si="11"/>
        <v>805.5616002646155</v>
      </c>
      <c r="U20" s="9">
        <f t="shared" si="12"/>
        <v>8847.094719529983</v>
      </c>
      <c r="V20" s="3"/>
    </row>
    <row r="21" spans="2:21" ht="12.75">
      <c r="B21" t="s">
        <v>0</v>
      </c>
      <c r="C21" t="s">
        <v>1</v>
      </c>
      <c r="D21">
        <f>1.6465/(C5^0.2)</f>
        <v>3.9243981705679936</v>
      </c>
      <c r="I21" s="2"/>
      <c r="J21" s="2"/>
      <c r="K21" s="2"/>
      <c r="L21" s="2"/>
      <c r="M21" s="2"/>
      <c r="N21" s="2"/>
      <c r="R21" s="3"/>
      <c r="T21" s="3"/>
      <c r="U21" s="3"/>
    </row>
    <row r="22" spans="2:21" ht="12.75">
      <c r="B22" t="s">
        <v>2</v>
      </c>
      <c r="C22" t="s">
        <v>3</v>
      </c>
      <c r="D22">
        <f>C18/(C7*C18+2+C6)</f>
        <v>0.5178378218144629</v>
      </c>
      <c r="I22" s="2"/>
      <c r="J22" s="2"/>
      <c r="K22" s="2"/>
      <c r="L22" s="2"/>
      <c r="M22" s="2"/>
      <c r="N22" s="2"/>
      <c r="R22" s="3"/>
      <c r="T22" s="3"/>
      <c r="U22" s="3"/>
    </row>
    <row r="23" spans="2:21" ht="12.75">
      <c r="B23" t="s">
        <v>4</v>
      </c>
      <c r="C23" t="s">
        <v>5</v>
      </c>
      <c r="D23">
        <f>(C7*C18+2+C6)/(2+C6)</f>
        <v>1.34938</v>
      </c>
      <c r="I23" s="2"/>
      <c r="J23" s="2"/>
      <c r="K23" s="2"/>
      <c r="L23" s="2"/>
      <c r="M23" s="2"/>
      <c r="N23" s="2"/>
      <c r="R23" s="3"/>
      <c r="T23" s="3"/>
      <c r="U23" s="3"/>
    </row>
    <row r="24" spans="2:9" ht="12.75">
      <c r="B24" t="s">
        <v>6</v>
      </c>
      <c r="D24">
        <v>10</v>
      </c>
      <c r="H24" t="s">
        <v>41</v>
      </c>
      <c r="I24">
        <v>0.12414365755194319</v>
      </c>
    </row>
    <row r="25" spans="8:9" ht="12.75">
      <c r="H25" t="s">
        <v>45</v>
      </c>
      <c r="I25">
        <v>30</v>
      </c>
    </row>
    <row r="26" spans="2:9" ht="12.75">
      <c r="B26" t="s">
        <v>19</v>
      </c>
      <c r="C26" t="s">
        <v>7</v>
      </c>
      <c r="D26">
        <f>((C$17/(D$21^C$18))^(1/D$23))*C8*(C12^D$22)</f>
        <v>6630.942501104398</v>
      </c>
      <c r="E26">
        <f>D19*C8*(C12^D22)</f>
        <v>6630.942501104398</v>
      </c>
      <c r="F26" s="1">
        <f>D26/D29</f>
        <v>0.7917066764318273</v>
      </c>
      <c r="H26" t="s">
        <v>46</v>
      </c>
      <c r="I26">
        <v>0.05933</v>
      </c>
    </row>
    <row r="27" spans="2:9" ht="12.75">
      <c r="B27" t="s">
        <v>20</v>
      </c>
      <c r="D27">
        <f>((C$17/(D$21^C$18))^(1/D$23))*C9*(C14^D$22)</f>
        <v>961.2858988714199</v>
      </c>
      <c r="E27">
        <f>D19*C9*(C14^D22)</f>
        <v>961.2858988714199</v>
      </c>
      <c r="F27" s="1">
        <f>D27/D29</f>
        <v>0.1147734977296995</v>
      </c>
      <c r="H27" t="s">
        <v>47</v>
      </c>
      <c r="I27">
        <v>0.65</v>
      </c>
    </row>
    <row r="28" spans="2:9" ht="12.75">
      <c r="B28" t="s">
        <v>21</v>
      </c>
      <c r="D28">
        <f>((C$17/(D$21^C$18))^(1/D$23))*C10*(C16^D$22)</f>
        <v>783.2756831647246</v>
      </c>
      <c r="E28">
        <f>D19*C10*(C16^D22)</f>
        <v>783.2756831647246</v>
      </c>
      <c r="F28" s="1">
        <f>D28/D29</f>
        <v>0.0935198258384732</v>
      </c>
      <c r="H28" t="s">
        <v>17</v>
      </c>
      <c r="I28">
        <v>2000</v>
      </c>
    </row>
    <row r="29" spans="3:4" ht="12.75">
      <c r="C29" t="s">
        <v>30</v>
      </c>
      <c r="D29">
        <f>SUM(D26:D28)</f>
        <v>8375.504083140542</v>
      </c>
    </row>
    <row r="31" ht="12.75">
      <c r="H31">
        <f>30*1000/3600</f>
        <v>8.333333333333334</v>
      </c>
    </row>
    <row r="34" spans="2:4" ht="12.75">
      <c r="B34" t="s">
        <v>8</v>
      </c>
      <c r="C34" t="s">
        <v>9</v>
      </c>
      <c r="D34">
        <f>(1/D21)*((C12*((C8/D24)^C7))^(1/(C6+2)))</f>
        <v>0.13010049137410348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16"/>
  <sheetViews>
    <sheetView workbookViewId="0" topLeftCell="B1">
      <selection activeCell="D15" sqref="D15"/>
    </sheetView>
  </sheetViews>
  <sheetFormatPr defaultColWidth="9.140625" defaultRowHeight="12.75"/>
  <sheetData>
    <row r="2" spans="7:9" ht="12.75">
      <c r="G2" t="s">
        <v>36</v>
      </c>
      <c r="H2" t="s">
        <v>37</v>
      </c>
      <c r="I2" t="s">
        <v>38</v>
      </c>
    </row>
    <row r="3" spans="7:9" ht="12.75">
      <c r="G3" t="s">
        <v>60</v>
      </c>
      <c r="H3" t="s">
        <v>56</v>
      </c>
      <c r="I3" t="s">
        <v>61</v>
      </c>
    </row>
    <row r="4" spans="6:14" ht="12.75">
      <c r="F4" t="s">
        <v>59</v>
      </c>
      <c r="G4">
        <v>500</v>
      </c>
      <c r="H4">
        <v>600</v>
      </c>
      <c r="I4">
        <v>700</v>
      </c>
      <c r="L4" t="s">
        <v>63</v>
      </c>
      <c r="N4">
        <v>34</v>
      </c>
    </row>
    <row r="5" spans="6:14" ht="12.75">
      <c r="F5" t="s">
        <v>57</v>
      </c>
      <c r="G5">
        <v>203.4</v>
      </c>
      <c r="H5">
        <v>180.8</v>
      </c>
      <c r="I5">
        <v>126.6</v>
      </c>
      <c r="L5" t="s">
        <v>64</v>
      </c>
      <c r="N5">
        <f>500*27+600*20.5+700*12.4</f>
        <v>34480</v>
      </c>
    </row>
    <row r="6" spans="6:9" ht="12.75">
      <c r="F6" t="s">
        <v>58</v>
      </c>
      <c r="G6">
        <v>0.018</v>
      </c>
      <c r="H6">
        <v>0.012</v>
      </c>
      <c r="I6">
        <v>0.006</v>
      </c>
    </row>
    <row r="7" spans="6:9" ht="12.75">
      <c r="F7" t="s">
        <v>53</v>
      </c>
      <c r="G7">
        <v>0.553962959222058</v>
      </c>
      <c r="H7">
        <v>0.4674062468436115</v>
      </c>
      <c r="I7">
        <v>0.476643810312423</v>
      </c>
    </row>
    <row r="8" spans="3:10" ht="12.75">
      <c r="C8" t="s">
        <v>50</v>
      </c>
      <c r="D8">
        <v>0.006</v>
      </c>
      <c r="F8" t="s">
        <v>32</v>
      </c>
      <c r="G8">
        <v>0.7380583581077721</v>
      </c>
      <c r="H8">
        <v>0.7518759585254641</v>
      </c>
      <c r="I8">
        <v>1.409698185212765</v>
      </c>
      <c r="J8" s="4">
        <f>SUM(G8:I8)</f>
        <v>2.899632501846001</v>
      </c>
    </row>
    <row r="9" spans="3:4" ht="12.75">
      <c r="C9" t="s">
        <v>51</v>
      </c>
      <c r="D9">
        <v>126.6</v>
      </c>
    </row>
    <row r="10" spans="3:9" ht="12.75">
      <c r="C10" t="s">
        <v>52</v>
      </c>
      <c r="D10">
        <v>700</v>
      </c>
      <c r="F10" t="s">
        <v>62</v>
      </c>
      <c r="G10">
        <f>34-G8</f>
        <v>33.26194164189223</v>
      </c>
      <c r="H10">
        <f>34-G8-H8</f>
        <v>32.51006568336676</v>
      </c>
      <c r="I10">
        <f>34-G8-H8-I8</f>
        <v>31.100367498153997</v>
      </c>
    </row>
    <row r="13" spans="3:4" ht="12.75">
      <c r="C13" t="s">
        <v>53</v>
      </c>
      <c r="D13">
        <f>(D8)/(PI()*((D9/1000)^2)/4)</f>
        <v>0.476643810312423</v>
      </c>
    </row>
    <row r="14" spans="3:4" ht="12.75">
      <c r="C14" t="s">
        <v>54</v>
      </c>
      <c r="D14">
        <f>(D13*(D9/1000))/(1.31*10^-6)</f>
        <v>46063.439988971564</v>
      </c>
    </row>
    <row r="15" spans="3:4" ht="12.75">
      <c r="C15" t="s">
        <v>11</v>
      </c>
      <c r="D15">
        <f>(1/(-2*LOG((0.03/(3.7*D9)+(6/(D14^0.90458))))))^2</f>
        <v>0.022017747861688676</v>
      </c>
    </row>
    <row r="16" spans="3:4" ht="12.75">
      <c r="C16" t="s">
        <v>55</v>
      </c>
      <c r="D16">
        <f>D15*(D10/(D9/1000))*((D13^2)/(2*9.81))</f>
        <v>1.409698185212765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:L23"/>
  <sheetViews>
    <sheetView workbookViewId="0" topLeftCell="C1">
      <selection activeCell="E14" sqref="E14"/>
    </sheetView>
  </sheetViews>
  <sheetFormatPr defaultColWidth="9.140625" defaultRowHeight="12.75"/>
  <cols>
    <col min="5" max="5" width="12.28125" style="0" bestFit="1" customWidth="1"/>
    <col min="9" max="9" width="21.7109375" style="0" customWidth="1"/>
    <col min="11" max="11" width="31.57421875" style="0" customWidth="1"/>
  </cols>
  <sheetData>
    <row r="1" ht="18">
      <c r="I1" s="10" t="s">
        <v>80</v>
      </c>
    </row>
    <row r="4" spans="4:5" ht="12.75">
      <c r="D4" t="s">
        <v>11</v>
      </c>
      <c r="E4">
        <v>0.013</v>
      </c>
    </row>
    <row r="5" spans="4:5" ht="12.75">
      <c r="D5" t="s">
        <v>65</v>
      </c>
      <c r="E5">
        <f>ο1/((PI()*(Δ1^2)/4))</f>
        <v>1.6247853167433062</v>
      </c>
    </row>
    <row r="6" spans="4:5" ht="12.75">
      <c r="D6" t="s">
        <v>66</v>
      </c>
      <c r="E6">
        <f>ο2/(PI()*(E12^2)/4)</f>
        <v>1.3775414158032009</v>
      </c>
    </row>
    <row r="7" spans="4:5" ht="12.75">
      <c r="D7" t="s">
        <v>67</v>
      </c>
      <c r="E7">
        <f>ο3/((PI()*(E13^2))/4)</f>
        <v>1.0481088309493118</v>
      </c>
    </row>
    <row r="8" spans="4:8" ht="12.75">
      <c r="D8" t="s">
        <v>68</v>
      </c>
      <c r="E8">
        <v>0.018</v>
      </c>
      <c r="G8" t="s">
        <v>24</v>
      </c>
      <c r="H8">
        <f>((PI()*Δ1^2)/4)*ταχ1</f>
        <v>0.018</v>
      </c>
    </row>
    <row r="9" spans="4:8" ht="12.75">
      <c r="D9" t="s">
        <v>27</v>
      </c>
      <c r="E9">
        <v>0.012</v>
      </c>
      <c r="G9" t="s">
        <v>77</v>
      </c>
      <c r="H9">
        <f>((PI()*Δ2^2)/4)*ταχ2</f>
        <v>0.012</v>
      </c>
    </row>
    <row r="10" spans="4:8" ht="12.75">
      <c r="D10" t="s">
        <v>69</v>
      </c>
      <c r="E10">
        <v>0.006</v>
      </c>
      <c r="G10" t="s">
        <v>28</v>
      </c>
      <c r="H10">
        <f>((PI()*Δ3^2)/4)*ταχ3</f>
        <v>0.005999999999999999</v>
      </c>
    </row>
    <row r="11" spans="4:5" ht="12.75">
      <c r="D11" t="s">
        <v>70</v>
      </c>
      <c r="E11">
        <v>0.11876632521184718</v>
      </c>
    </row>
    <row r="12" spans="4:12" ht="12.75">
      <c r="D12" t="s">
        <v>71</v>
      </c>
      <c r="E12">
        <v>0.10531575607248361</v>
      </c>
      <c r="G12" t="s">
        <v>78</v>
      </c>
      <c r="H12">
        <f>(E4/(2*9.81))*((Λ1*(ταχ1^2)/Δ1)+(Λ2*(ταχ2^2)/Δ2)+(Λ3*(ταχ3^2)/Δ3))</f>
        <v>20.49524520748139</v>
      </c>
      <c r="K12" t="s">
        <v>79</v>
      </c>
      <c r="L12">
        <f>E23*(9810*ο1*(H12+30)/(E22*1000))*E21</f>
        <v>1627.732314329446</v>
      </c>
    </row>
    <row r="13" spans="4:5" ht="12.75">
      <c r="D13" t="s">
        <v>72</v>
      </c>
      <c r="E13">
        <v>0.08537436655681309</v>
      </c>
    </row>
    <row r="14" spans="4:5" ht="12.75">
      <c r="D14" t="s">
        <v>73</v>
      </c>
      <c r="E14">
        <v>500</v>
      </c>
    </row>
    <row r="15" spans="4:5" ht="12.75">
      <c r="D15" t="s">
        <v>74</v>
      </c>
      <c r="E15">
        <v>600</v>
      </c>
    </row>
    <row r="16" spans="4:5" ht="12.75">
      <c r="D16" t="s">
        <v>75</v>
      </c>
      <c r="E16">
        <v>700</v>
      </c>
    </row>
    <row r="17" spans="4:5" ht="12.75">
      <c r="D17" t="s">
        <v>76</v>
      </c>
      <c r="E17">
        <v>452.55706373882975</v>
      </c>
    </row>
    <row r="18" spans="4:12" ht="12.75">
      <c r="D18" t="s">
        <v>18</v>
      </c>
      <c r="E18">
        <v>1.7469</v>
      </c>
      <c r="I18" t="s">
        <v>81</v>
      </c>
      <c r="J18">
        <f>(Λ1*E17*(Δ1^E18)+Λ2*E17*(Δ2^E18)+Λ3*E17*(Δ3^E18))</f>
        <v>15101.100961723645</v>
      </c>
      <c r="K18" t="s">
        <v>82</v>
      </c>
      <c r="L18">
        <f>(Λ1*E17*(Δ1^E18)+Λ2*E17*(Δ2^E18)+Λ3*E17*(Δ3^E18))*E19</f>
        <v>1874.7059064495402</v>
      </c>
    </row>
    <row r="19" spans="4:10" ht="12.75">
      <c r="D19" t="s">
        <v>41</v>
      </c>
      <c r="E19">
        <v>0.12414365755194319</v>
      </c>
      <c r="I19" t="s">
        <v>49</v>
      </c>
      <c r="J19" s="4">
        <f>L18+L12</f>
        <v>3502.438220778986</v>
      </c>
    </row>
    <row r="20" spans="4:5" ht="12.75">
      <c r="D20" t="s">
        <v>45</v>
      </c>
      <c r="E20">
        <v>30</v>
      </c>
    </row>
    <row r="21" spans="4:5" ht="12.75">
      <c r="D21" t="s">
        <v>46</v>
      </c>
      <c r="E21">
        <v>0.05933</v>
      </c>
    </row>
    <row r="22" spans="4:5" ht="12.75">
      <c r="D22" t="s">
        <v>47</v>
      </c>
      <c r="E22">
        <v>0.65</v>
      </c>
    </row>
    <row r="23" spans="4:5" ht="12.75">
      <c r="D23" t="s">
        <v>17</v>
      </c>
      <c r="E23">
        <v>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 christ</cp:lastModifiedBy>
  <dcterms:created xsi:type="dcterms:W3CDTF">2013-04-17T10:12:39Z</dcterms:created>
  <dcterms:modified xsi:type="dcterms:W3CDTF">2016-06-17T11:59:02Z</dcterms:modified>
  <cp:category/>
  <cp:version/>
  <cp:contentType/>
  <cp:contentStatus/>
</cp:coreProperties>
</file>