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3920" windowHeight="801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solver_adj" localSheetId="3" hidden="1">'Sheet4'!$E$11:$E$13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'Sheet4'!$H$8</definedName>
    <definedName name="solver_lhs2" localSheetId="3" hidden="1">'Sheet4'!$H$9</definedName>
    <definedName name="solver_lhs3" localSheetId="3" hidden="1">'Sheet4'!$H$10</definedName>
    <definedName name="solver_lhs4" localSheetId="3" hidden="1">'Sheet4'!$E$5</definedName>
    <definedName name="solver_lhs5" localSheetId="3" hidden="1">'Sheet4'!$E$6</definedName>
    <definedName name="solver_lhs6" localSheetId="3" hidden="1">'Sheet4'!$E$7</definedName>
    <definedName name="solver_lhs7" localSheetId="3" hidden="1">'Sheet4'!$E$11</definedName>
    <definedName name="solver_lhs8" localSheetId="3" hidden="1">'Sheet4'!$E$12</definedName>
    <definedName name="solver_lhs9" localSheetId="3" hidden="1">'Sheet4'!$E$13</definedName>
    <definedName name="solver_lin" localSheetId="3" hidden="1">2</definedName>
    <definedName name="solver_neg" localSheetId="3" hidden="1">2</definedName>
    <definedName name="solver_num" localSheetId="3" hidden="1">9</definedName>
    <definedName name="solver_nwt" localSheetId="3" hidden="1">1</definedName>
    <definedName name="solver_opt" localSheetId="3" hidden="1">'Sheet4'!$J$19</definedName>
    <definedName name="solver_pre" localSheetId="3" hidden="1">0.000001</definedName>
    <definedName name="solver_rel1" localSheetId="3" hidden="1">2</definedName>
    <definedName name="solver_rel2" localSheetId="3" hidden="1">2</definedName>
    <definedName name="solver_rel3" localSheetId="3" hidden="1">2</definedName>
    <definedName name="solver_rel4" localSheetId="3" hidden="1">1</definedName>
    <definedName name="solver_rel5" localSheetId="3" hidden="1">1</definedName>
    <definedName name="solver_rel6" localSheetId="3" hidden="1">1</definedName>
    <definedName name="solver_rel7" localSheetId="3" hidden="1">3</definedName>
    <definedName name="solver_rel8" localSheetId="3" hidden="1">3</definedName>
    <definedName name="solver_rel9" localSheetId="3" hidden="1">3</definedName>
    <definedName name="solver_rhs1" localSheetId="3" hidden="1">'Sheet4'!$E$8</definedName>
    <definedName name="solver_rhs2" localSheetId="3" hidden="1">'Sheet4'!$E$9</definedName>
    <definedName name="solver_rhs3" localSheetId="3" hidden="1">'Sheet4'!$E$10</definedName>
    <definedName name="solver_rhs4" localSheetId="3" hidden="1">2</definedName>
    <definedName name="solver_rhs5" localSheetId="3" hidden="1">2</definedName>
    <definedName name="solver_rhs6" localSheetId="3" hidden="1">2</definedName>
    <definedName name="solver_rhs7" localSheetId="3" hidden="1">0.06</definedName>
    <definedName name="solver_rhs8" localSheetId="3" hidden="1">0.06</definedName>
    <definedName name="solver_rhs9" localSheetId="3" hidden="1">0.06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  <definedName name="Δ1">'Sheet4'!$E$11</definedName>
    <definedName name="Δ2">'Sheet4'!$E$12</definedName>
    <definedName name="Δ3">'Sheet4'!$E$13</definedName>
    <definedName name="Λ1">'Sheet4'!$E$14</definedName>
    <definedName name="Λ2">'Sheet4'!$E$15</definedName>
    <definedName name="Λ3">'Sheet4'!$E$16</definedName>
    <definedName name="ο1">'Sheet4'!$E$8</definedName>
    <definedName name="ο2">'Sheet4'!$E$9</definedName>
    <definedName name="ο3">'Sheet4'!$E$10</definedName>
    <definedName name="ταχ1">'Sheet4'!$E$5</definedName>
    <definedName name="ταχ2">'Sheet4'!$E$6</definedName>
    <definedName name="ταχ3">'Sheet4'!$E$7</definedName>
  </definedNames>
  <calcPr fullCalcOnLoad="1"/>
</workbook>
</file>

<file path=xl/sharedStrings.xml><?xml version="1.0" encoding="utf-8"?>
<sst xmlns="http://schemas.openxmlformats.org/spreadsheetml/2006/main" count="107" uniqueCount="83">
  <si>
    <t>C0=</t>
  </si>
  <si>
    <t>1.6465/f^0.2</t>
  </si>
  <si>
    <t>z=</t>
  </si>
  <si>
    <t>ν/(yν+2+x)</t>
  </si>
  <si>
    <t>ω=</t>
  </si>
  <si>
    <t>(yν+2+x)/(2+x)</t>
  </si>
  <si>
    <t>δh=</t>
  </si>
  <si>
    <t>(A/C0^ν)^1/ω*l*Q^z</t>
  </si>
  <si>
    <t>D=</t>
  </si>
  <si>
    <t>1/C0*(Q*(l/δh)^y)^(1/(x+2))</t>
  </si>
  <si>
    <t>ΣΤΟΙΧΕΙΑ</t>
  </si>
  <si>
    <t>f=</t>
  </si>
  <si>
    <t>x=</t>
  </si>
  <si>
    <t>y=</t>
  </si>
  <si>
    <t>m</t>
  </si>
  <si>
    <t>l/s</t>
  </si>
  <si>
    <t>m^3/s</t>
  </si>
  <si>
    <t>A=</t>
  </si>
  <si>
    <t>ν=</t>
  </si>
  <si>
    <t>Φ1=</t>
  </si>
  <si>
    <t>Φ2=</t>
  </si>
  <si>
    <t>Φ3=</t>
  </si>
  <si>
    <t>αγωγ1</t>
  </si>
  <si>
    <t>l1=</t>
  </si>
  <si>
    <t>Q1=</t>
  </si>
  <si>
    <t>l2=</t>
  </si>
  <si>
    <t>l3=</t>
  </si>
  <si>
    <t>Q2</t>
  </si>
  <si>
    <t>Q3=</t>
  </si>
  <si>
    <t>(A/co^n)^(1/ω)</t>
  </si>
  <si>
    <t>SUM</t>
  </si>
  <si>
    <t>H αρχικο</t>
  </si>
  <si>
    <t>Δh</t>
  </si>
  <si>
    <t>Δh1</t>
  </si>
  <si>
    <t>Δh2</t>
  </si>
  <si>
    <t>Δh3</t>
  </si>
  <si>
    <t>D1</t>
  </si>
  <si>
    <t>D2</t>
  </si>
  <si>
    <t>D3</t>
  </si>
  <si>
    <t>κοστος σωλ</t>
  </si>
  <si>
    <t>κοστος/χρονο</t>
  </si>
  <si>
    <t>ε=</t>
  </si>
  <si>
    <t>κοστος αντλιο</t>
  </si>
  <si>
    <t>KW</t>
  </si>
  <si>
    <t>KWh</t>
  </si>
  <si>
    <t>N=</t>
  </si>
  <si>
    <t>β=</t>
  </si>
  <si>
    <t>n=</t>
  </si>
  <si>
    <t>eur</t>
  </si>
  <si>
    <t>ΣΥΝΟΛΟ</t>
  </si>
  <si>
    <t>Q= m3/s</t>
  </si>
  <si>
    <t>D= mm</t>
  </si>
  <si>
    <t>L=m</t>
  </si>
  <si>
    <t>V=</t>
  </si>
  <si>
    <t>Re=</t>
  </si>
  <si>
    <t>δη=</t>
  </si>
  <si>
    <t>Φ200</t>
  </si>
  <si>
    <t>εσωτ διαμ</t>
  </si>
  <si>
    <t>Q</t>
  </si>
  <si>
    <t>μετρα</t>
  </si>
  <si>
    <t>Φ225</t>
  </si>
  <si>
    <t>Φ140</t>
  </si>
  <si>
    <t>H</t>
  </si>
  <si>
    <t xml:space="preserve">αντλια με μαν </t>
  </si>
  <si>
    <t>κοστος σωλ=</t>
  </si>
  <si>
    <t>v1</t>
  </si>
  <si>
    <t>v2</t>
  </si>
  <si>
    <t>v3</t>
  </si>
  <si>
    <t>Q1</t>
  </si>
  <si>
    <t>Q3</t>
  </si>
  <si>
    <t>Δ1</t>
  </si>
  <si>
    <t>Δ2</t>
  </si>
  <si>
    <t>Δ3</t>
  </si>
  <si>
    <t>l1</t>
  </si>
  <si>
    <t>l2</t>
  </si>
  <si>
    <t>l3</t>
  </si>
  <si>
    <t>Α=</t>
  </si>
  <si>
    <t>Q2=</t>
  </si>
  <si>
    <t>Δη=</t>
  </si>
  <si>
    <t>kost antlio</t>
  </si>
  <si>
    <t>Επιλυση solver με τρεις αγωγους</t>
  </si>
  <si>
    <t>ολικο κοστος σωληνωσεων</t>
  </si>
  <si>
    <t>ολικο κοστος σωληνωσεων/χρονο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</si>
</sst>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Sheet1!$G$8:$G$20</c:f>
              <c:numCache>
                <c:ptCount val="1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54</c:v>
                </c:pt>
              </c:numCache>
            </c:numRef>
          </c:xVal>
          <c:yVal>
            <c:numRef>
              <c:f>Sheet1!$U$8:$U$20</c:f>
              <c:numCache>
                <c:ptCount val="13"/>
                <c:pt idx="0">
                  <c:v>3614.1965172356227</c:v>
                </c:pt>
                <c:pt idx="1">
                  <c:v>3584.097205894118</c:v>
                </c:pt>
                <c:pt idx="2">
                  <c:v>3560.153323504621</c:v>
                </c:pt>
                <c:pt idx="3">
                  <c:v>3541.3784941105796</c:v>
                </c:pt>
                <c:pt idx="4">
                  <c:v>3526.9973395027996</c:v>
                </c:pt>
                <c:pt idx="5">
                  <c:v>3516.3903764540664</c:v>
                </c:pt>
                <c:pt idx="6">
                  <c:v>3509.055613171933</c:v>
                </c:pt>
                <c:pt idx="7">
                  <c:v>3504.581159301831</c:v>
                </c:pt>
                <c:pt idx="8">
                  <c:v>3502.625290780744</c:v>
                </c:pt>
                <c:pt idx="9">
                  <c:v>3502.9016775365935</c:v>
                </c:pt>
                <c:pt idx="10">
                  <c:v>3505.168260109729</c:v>
                </c:pt>
                <c:pt idx="11">
                  <c:v>3509.2187524927313</c:v>
                </c:pt>
                <c:pt idx="12">
                  <c:v>3514.876066272103</c:v>
                </c:pt>
              </c:numCache>
            </c:numRef>
          </c:yVal>
          <c:smooth val="0"/>
        </c:ser>
        <c:axId val="23688978"/>
        <c:axId val="11874211"/>
      </c:scatterChart>
      <c:valAx>
        <c:axId val="23688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4211"/>
        <c:crosses val="autoZero"/>
        <c:crossBetween val="midCat"/>
        <c:dispUnits/>
      </c:valAx>
      <c:valAx>
        <c:axId val="11874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89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20</xdr:row>
      <xdr:rowOff>76200</xdr:rowOff>
    </xdr:from>
    <xdr:to>
      <xdr:col>18</xdr:col>
      <xdr:colOff>400050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6296025" y="3314700"/>
        <a:ext cx="37338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4"/>
  <sheetViews>
    <sheetView workbookViewId="0" topLeftCell="B4">
      <selection activeCell="J24" sqref="J24"/>
    </sheetView>
  </sheetViews>
  <sheetFormatPr defaultColWidth="9.140625" defaultRowHeight="12.75"/>
  <cols>
    <col min="2" max="2" width="4.8515625" style="0" customWidth="1"/>
    <col min="3" max="3" width="16.8515625" style="0" customWidth="1"/>
    <col min="4" max="4" width="8.7109375" style="0" customWidth="1"/>
    <col min="6" max="6" width="6.140625" style="0" customWidth="1"/>
    <col min="7" max="7" width="6.8515625" style="0" customWidth="1"/>
    <col min="8" max="8" width="6.140625" style="0" customWidth="1"/>
    <col min="13" max="13" width="6.28125" style="0" customWidth="1"/>
    <col min="14" max="14" width="7.28125" style="0" customWidth="1"/>
    <col min="17" max="17" width="1.421875" style="0" customWidth="1"/>
    <col min="18" max="18" width="6.7109375" style="0" customWidth="1"/>
    <col min="19" max="19" width="7.8515625" style="0" customWidth="1"/>
  </cols>
  <sheetData>
    <row r="2" ht="12.75">
      <c r="C2" t="s">
        <v>10</v>
      </c>
    </row>
    <row r="4" ht="12.75">
      <c r="C4" t="s">
        <v>22</v>
      </c>
    </row>
    <row r="5" spans="2:18" ht="12.75">
      <c r="B5" t="s">
        <v>11</v>
      </c>
      <c r="C5">
        <v>0.013</v>
      </c>
      <c r="O5" t="s">
        <v>39</v>
      </c>
      <c r="P5" t="s">
        <v>40</v>
      </c>
      <c r="R5" t="s">
        <v>42</v>
      </c>
    </row>
    <row r="6" spans="2:21" ht="12.75">
      <c r="B6" t="s">
        <v>12</v>
      </c>
      <c r="C6">
        <v>0.5</v>
      </c>
      <c r="R6" t="s">
        <v>43</v>
      </c>
      <c r="S6" t="s">
        <v>44</v>
      </c>
      <c r="T6" t="s">
        <v>48</v>
      </c>
      <c r="U6" t="s">
        <v>49</v>
      </c>
    </row>
    <row r="7" spans="2:22" ht="12.75">
      <c r="B7" t="s">
        <v>13</v>
      </c>
      <c r="C7">
        <v>0.5</v>
      </c>
      <c r="G7" t="s">
        <v>31</v>
      </c>
      <c r="H7" t="s">
        <v>32</v>
      </c>
      <c r="I7" t="s">
        <v>33</v>
      </c>
      <c r="J7" t="s">
        <v>34</v>
      </c>
      <c r="K7" t="s">
        <v>35</v>
      </c>
      <c r="L7" t="s">
        <v>36</v>
      </c>
      <c r="M7" t="s">
        <v>37</v>
      </c>
      <c r="N7" t="s">
        <v>38</v>
      </c>
      <c r="V7" s="3"/>
    </row>
    <row r="8" spans="2:22" ht="12.75">
      <c r="B8" t="s">
        <v>23</v>
      </c>
      <c r="C8">
        <v>500</v>
      </c>
      <c r="D8" t="s">
        <v>14</v>
      </c>
      <c r="G8" s="7">
        <v>42</v>
      </c>
      <c r="H8" s="7">
        <f aca="true" t="shared" si="0" ref="H8:H20">G8-30</f>
        <v>12</v>
      </c>
      <c r="I8" s="8">
        <f aca="true" t="shared" si="1" ref="I8:I20">H8*F$26</f>
        <v>4.339430851879973</v>
      </c>
      <c r="J8" s="8">
        <f aca="true" t="shared" si="2" ref="J8:J20">H8*F$27</f>
        <v>4.2211161676634115</v>
      </c>
      <c r="K8" s="8">
        <f aca="true" t="shared" si="3" ref="K8:K20">H8*F$28</f>
        <v>3.439452980456616</v>
      </c>
      <c r="L8" s="8">
        <f aca="true" t="shared" si="4" ref="L8:L20">(1/D$21)*((C$12*((C$8/I8)^C$7))^(1/(C$6+2)))</f>
        <v>0.13202111121102075</v>
      </c>
      <c r="M8" s="8">
        <f aca="true" t="shared" si="5" ref="M8:M20">(1/D$21)*((C$14*((C$9/J8)^C$7))^(1/(C$6+2)))</f>
        <v>0.11706962387357317</v>
      </c>
      <c r="N8" s="8">
        <f aca="true" t="shared" si="6" ref="N8:N20">(1/D$21)*((C$16*((C$10/K8)^C$7))^(1/(C$6+2)))</f>
        <v>0.09532551675067948</v>
      </c>
      <c r="O8" s="7">
        <f>$C$8*$C$17*(L8^$C$18)+$C$9*$C$17*(M8^C$18)+$C$10*$C$17*(N8^C$18)</f>
        <v>18207.224753534774</v>
      </c>
      <c r="P8" s="7">
        <f>$I$24*O8</f>
        <v>2260.311474774084</v>
      </c>
      <c r="R8" s="6">
        <f aca="true" t="shared" si="7" ref="R8:R20">(9810*$C$12*G8)/($I$27*1000)</f>
        <v>11.409784615384615</v>
      </c>
      <c r="S8" s="7">
        <f>R8*$I$28</f>
        <v>22819.56923076923</v>
      </c>
      <c r="T8" s="9">
        <f>S8*$I$26</f>
        <v>1353.8850424615384</v>
      </c>
      <c r="U8" s="9">
        <f>P8+T8</f>
        <v>3614.1965172356227</v>
      </c>
      <c r="V8" s="3"/>
    </row>
    <row r="9" spans="2:22" ht="12.75">
      <c r="B9" t="s">
        <v>25</v>
      </c>
      <c r="C9">
        <v>600</v>
      </c>
      <c r="D9" t="s">
        <v>14</v>
      </c>
      <c r="G9" s="7">
        <v>43</v>
      </c>
      <c r="H9" s="7">
        <f t="shared" si="0"/>
        <v>13</v>
      </c>
      <c r="I9" s="8">
        <f t="shared" si="1"/>
        <v>4.701050089536637</v>
      </c>
      <c r="J9" s="8">
        <f t="shared" si="2"/>
        <v>4.572875848302029</v>
      </c>
      <c r="K9" s="8">
        <f t="shared" si="3"/>
        <v>3.726074062161334</v>
      </c>
      <c r="L9" s="8">
        <f t="shared" si="4"/>
        <v>0.129924472607691</v>
      </c>
      <c r="M9" s="8">
        <f t="shared" si="5"/>
        <v>0.11521043112448093</v>
      </c>
      <c r="N9" s="8">
        <f t="shared" si="6"/>
        <v>0.09381164403389575</v>
      </c>
      <c r="O9" s="7">
        <f aca="true" t="shared" si="8" ref="O9:O20">$C$8*$C$17*(L9^$C$18)+$C$9*$C$17*(M9^C$18)+$C$10*$C$17*(N9^C$18)</f>
        <v>17705.10752318598</v>
      </c>
      <c r="P9" s="7">
        <f aca="true" t="shared" si="9" ref="P9:P20">$I$24*O9</f>
        <v>2197.9768052787335</v>
      </c>
      <c r="Q9" s="8" t="e">
        <f>(1/G$21)*((F$16*((F$10/N9)^F$7))^(1/(F$6+2)))</f>
        <v>#DIV/0!</v>
      </c>
      <c r="R9" s="6">
        <f t="shared" si="7"/>
        <v>11.681446153846153</v>
      </c>
      <c r="S9" s="7">
        <f aca="true" t="shared" si="10" ref="S9:S20">R9*$I$28</f>
        <v>23362.892307692306</v>
      </c>
      <c r="T9" s="9">
        <f aca="true" t="shared" si="11" ref="T9:T20">S9*$I$26</f>
        <v>1386.1204006153846</v>
      </c>
      <c r="U9" s="9">
        <f aca="true" t="shared" si="12" ref="U9:U20">P9+T9</f>
        <v>3584.097205894118</v>
      </c>
      <c r="V9" s="3"/>
    </row>
    <row r="10" spans="2:22" ht="12.75">
      <c r="B10" t="s">
        <v>26</v>
      </c>
      <c r="C10">
        <v>700</v>
      </c>
      <c r="D10" t="s">
        <v>14</v>
      </c>
      <c r="G10" s="7">
        <v>44</v>
      </c>
      <c r="H10" s="7">
        <f t="shared" si="0"/>
        <v>14</v>
      </c>
      <c r="I10" s="8">
        <f t="shared" si="1"/>
        <v>5.062669327193302</v>
      </c>
      <c r="J10" s="8">
        <f t="shared" si="2"/>
        <v>4.924635528940646</v>
      </c>
      <c r="K10" s="8">
        <f t="shared" si="3"/>
        <v>4.012695143866052</v>
      </c>
      <c r="L10" s="8">
        <f t="shared" si="4"/>
        <v>0.1280129854048882</v>
      </c>
      <c r="M10" s="8">
        <f t="shared" si="5"/>
        <v>0.11351542124448084</v>
      </c>
      <c r="N10" s="8">
        <f t="shared" si="6"/>
        <v>0.0924314594278274</v>
      </c>
      <c r="O10" s="7">
        <f t="shared" si="8"/>
        <v>17252.573405445513</v>
      </c>
      <c r="P10" s="7">
        <f t="shared" si="9"/>
        <v>2141.79756473539</v>
      </c>
      <c r="Q10" s="7"/>
      <c r="R10" s="6">
        <f t="shared" si="7"/>
        <v>11.953107692307691</v>
      </c>
      <c r="S10" s="7">
        <f t="shared" si="10"/>
        <v>23906.21538461538</v>
      </c>
      <c r="T10" s="9">
        <f t="shared" si="11"/>
        <v>1418.3557587692305</v>
      </c>
      <c r="U10" s="9">
        <f t="shared" si="12"/>
        <v>3560.153323504621</v>
      </c>
      <c r="V10" s="3"/>
    </row>
    <row r="11" spans="2:22" ht="12.75">
      <c r="B11" t="s">
        <v>24</v>
      </c>
      <c r="C11">
        <v>18</v>
      </c>
      <c r="D11" t="s">
        <v>15</v>
      </c>
      <c r="G11" s="7">
        <v>45</v>
      </c>
      <c r="H11" s="7">
        <f t="shared" si="0"/>
        <v>15</v>
      </c>
      <c r="I11" s="8">
        <f t="shared" si="1"/>
        <v>5.424288564849967</v>
      </c>
      <c r="J11" s="8">
        <f t="shared" si="2"/>
        <v>5.276395209579264</v>
      </c>
      <c r="K11" s="8">
        <f t="shared" si="3"/>
        <v>4.29931622557077</v>
      </c>
      <c r="L11" s="8">
        <f t="shared" si="4"/>
        <v>0.12625871973171818</v>
      </c>
      <c r="M11" s="8">
        <f t="shared" si="5"/>
        <v>0.11195982744097109</v>
      </c>
      <c r="N11" s="8">
        <f t="shared" si="6"/>
        <v>0.09116479623828934</v>
      </c>
      <c r="O11" s="7">
        <f t="shared" si="8"/>
        <v>16841.67696052206</v>
      </c>
      <c r="P11" s="7">
        <f t="shared" si="9"/>
        <v>2090.7873771875024</v>
      </c>
      <c r="Q11" s="7"/>
      <c r="R11" s="6">
        <f t="shared" si="7"/>
        <v>12.22476923076923</v>
      </c>
      <c r="S11" s="7">
        <f t="shared" si="10"/>
        <v>24449.53846153846</v>
      </c>
      <c r="T11" s="9">
        <f t="shared" si="11"/>
        <v>1450.591116923077</v>
      </c>
      <c r="U11" s="9">
        <f t="shared" si="12"/>
        <v>3541.3784941105796</v>
      </c>
      <c r="V11" s="3"/>
    </row>
    <row r="12" spans="3:22" ht="12.75">
      <c r="C12">
        <v>0.018</v>
      </c>
      <c r="D12" t="s">
        <v>16</v>
      </c>
      <c r="G12" s="7">
        <v>46</v>
      </c>
      <c r="H12" s="7">
        <f t="shared" si="0"/>
        <v>16</v>
      </c>
      <c r="I12" s="8">
        <f t="shared" si="1"/>
        <v>5.785907802506631</v>
      </c>
      <c r="J12" s="8">
        <f t="shared" si="2"/>
        <v>5.628154890217882</v>
      </c>
      <c r="K12" s="8">
        <f t="shared" si="3"/>
        <v>4.585937307275488</v>
      </c>
      <c r="L12" s="8">
        <f t="shared" si="4"/>
        <v>0.12463948232160008</v>
      </c>
      <c r="M12" s="8">
        <f t="shared" si="5"/>
        <v>0.11052396985103194</v>
      </c>
      <c r="N12" s="8">
        <f t="shared" si="6"/>
        <v>0.08999562987204945</v>
      </c>
      <c r="O12" s="7">
        <f t="shared" si="8"/>
        <v>16466.172374296053</v>
      </c>
      <c r="P12" s="7">
        <f t="shared" si="9"/>
        <v>2044.1708644258765</v>
      </c>
      <c r="R12" s="6">
        <f t="shared" si="7"/>
        <v>12.496430769230768</v>
      </c>
      <c r="S12" s="7">
        <f t="shared" si="10"/>
        <v>24992.861538461537</v>
      </c>
      <c r="T12" s="9">
        <f t="shared" si="11"/>
        <v>1482.826475076923</v>
      </c>
      <c r="U12" s="9">
        <f t="shared" si="12"/>
        <v>3526.9973395027996</v>
      </c>
      <c r="V12" s="3"/>
    </row>
    <row r="13" spans="2:22" ht="12.75">
      <c r="B13" t="s">
        <v>27</v>
      </c>
      <c r="C13">
        <v>12</v>
      </c>
      <c r="D13" t="s">
        <v>15</v>
      </c>
      <c r="G13" s="7">
        <v>47</v>
      </c>
      <c r="H13" s="7">
        <f t="shared" si="0"/>
        <v>17</v>
      </c>
      <c r="I13" s="8">
        <f t="shared" si="1"/>
        <v>6.147527040163295</v>
      </c>
      <c r="J13" s="8">
        <f t="shared" si="2"/>
        <v>5.9799145708565</v>
      </c>
      <c r="K13" s="8">
        <f t="shared" si="3"/>
        <v>4.872558388980206</v>
      </c>
      <c r="L13" s="8">
        <f t="shared" si="4"/>
        <v>0.12313736297017502</v>
      </c>
      <c r="M13" s="8">
        <f t="shared" si="5"/>
        <v>0.1091919666140385</v>
      </c>
      <c r="N13" s="8">
        <f t="shared" si="6"/>
        <v>0.08891102831035745</v>
      </c>
      <c r="O13" s="7">
        <f t="shared" si="8"/>
        <v>16121.069595407385</v>
      </c>
      <c r="P13" s="7">
        <f t="shared" si="9"/>
        <v>2001.3285432232979</v>
      </c>
      <c r="R13" s="6">
        <f t="shared" si="7"/>
        <v>12.768092307692305</v>
      </c>
      <c r="S13" s="7">
        <f t="shared" si="10"/>
        <v>25536.18461538461</v>
      </c>
      <c r="T13" s="9">
        <f t="shared" si="11"/>
        <v>1515.0618332307688</v>
      </c>
      <c r="U13" s="9">
        <f t="shared" si="12"/>
        <v>3516.3903764540664</v>
      </c>
      <c r="V13" s="3"/>
    </row>
    <row r="14" spans="3:22" ht="12.75">
      <c r="C14">
        <v>0.012</v>
      </c>
      <c r="D14" t="s">
        <v>16</v>
      </c>
      <c r="G14" s="7">
        <v>48</v>
      </c>
      <c r="H14" s="7">
        <f t="shared" si="0"/>
        <v>18</v>
      </c>
      <c r="I14" s="8">
        <f t="shared" si="1"/>
        <v>6.509146277819959</v>
      </c>
      <c r="J14" s="8">
        <f t="shared" si="2"/>
        <v>6.331674251495118</v>
      </c>
      <c r="K14" s="8">
        <f t="shared" si="3"/>
        <v>5.159179470684924</v>
      </c>
      <c r="L14" s="8">
        <f t="shared" si="4"/>
        <v>0.12173771113029128</v>
      </c>
      <c r="M14" s="8">
        <f t="shared" si="5"/>
        <v>0.10795082636801195</v>
      </c>
      <c r="N14" s="8">
        <f t="shared" si="6"/>
        <v>0.08790041316188549</v>
      </c>
      <c r="O14" s="7">
        <f t="shared" si="8"/>
        <v>15802.324987617629</v>
      </c>
      <c r="P14" s="7">
        <f t="shared" si="9"/>
        <v>1961.7584217873177</v>
      </c>
      <c r="R14" s="6">
        <f t="shared" si="7"/>
        <v>13.039753846153847</v>
      </c>
      <c r="S14" s="7">
        <f t="shared" si="10"/>
        <v>26079.507692307692</v>
      </c>
      <c r="T14" s="9">
        <f t="shared" si="11"/>
        <v>1547.2971913846154</v>
      </c>
      <c r="U14" s="9">
        <f t="shared" si="12"/>
        <v>3509.055613171933</v>
      </c>
      <c r="V14" s="3"/>
    </row>
    <row r="15" spans="2:22" ht="12.75">
      <c r="B15" t="s">
        <v>28</v>
      </c>
      <c r="C15">
        <v>6</v>
      </c>
      <c r="D15" t="s">
        <v>15</v>
      </c>
      <c r="G15" s="7">
        <v>49</v>
      </c>
      <c r="H15" s="7">
        <f t="shared" si="0"/>
        <v>19</v>
      </c>
      <c r="I15" s="8">
        <f t="shared" si="1"/>
        <v>6.8707655154766245</v>
      </c>
      <c r="J15" s="8">
        <f t="shared" si="2"/>
        <v>6.683433932133735</v>
      </c>
      <c r="K15" s="8">
        <f t="shared" si="3"/>
        <v>5.445800552389642</v>
      </c>
      <c r="L15" s="8">
        <f t="shared" si="4"/>
        <v>0.12042839902230648</v>
      </c>
      <c r="M15" s="8">
        <f t="shared" si="5"/>
        <v>0.10678979481321847</v>
      </c>
      <c r="N15" s="8">
        <f t="shared" si="6"/>
        <v>0.08695502759334504</v>
      </c>
      <c r="O15" s="7">
        <f t="shared" si="8"/>
        <v>15506.620698346236</v>
      </c>
      <c r="P15" s="7">
        <f t="shared" si="9"/>
        <v>1925.0486097633693</v>
      </c>
      <c r="R15" s="6">
        <f t="shared" si="7"/>
        <v>13.311415384615385</v>
      </c>
      <c r="S15" s="7">
        <f t="shared" si="10"/>
        <v>26622.83076923077</v>
      </c>
      <c r="T15" s="9">
        <f t="shared" si="11"/>
        <v>1579.5325495384618</v>
      </c>
      <c r="U15" s="9">
        <f t="shared" si="12"/>
        <v>3504.581159301831</v>
      </c>
      <c r="V15" s="3"/>
    </row>
    <row r="16" spans="3:22" ht="12.75">
      <c r="C16">
        <v>0.006</v>
      </c>
      <c r="D16" t="s">
        <v>16</v>
      </c>
      <c r="G16" s="4">
        <v>50</v>
      </c>
      <c r="H16" s="4">
        <f t="shared" si="0"/>
        <v>20</v>
      </c>
      <c r="I16" s="5">
        <f t="shared" si="1"/>
        <v>7.232384753133289</v>
      </c>
      <c r="J16" s="5">
        <f t="shared" si="2"/>
        <v>7.0351936127723524</v>
      </c>
      <c r="K16" s="5">
        <f t="shared" si="3"/>
        <v>5.73242163409436</v>
      </c>
      <c r="L16" s="5">
        <f t="shared" si="4"/>
        <v>0.11919928049079835</v>
      </c>
      <c r="M16" s="5">
        <f t="shared" si="5"/>
        <v>0.10569987485375308</v>
      </c>
      <c r="N16" s="5">
        <f t="shared" si="6"/>
        <v>0.08606754559831342</v>
      </c>
      <c r="O16" s="4">
        <f t="shared" si="8"/>
        <v>15231.204077399434</v>
      </c>
      <c r="P16" s="4">
        <f t="shared" si="9"/>
        <v>1890.857383088436</v>
      </c>
      <c r="Q16" s="4"/>
      <c r="R16" s="6">
        <f t="shared" si="7"/>
        <v>13.583076923076923</v>
      </c>
      <c r="S16" s="4">
        <f t="shared" si="10"/>
        <v>27166.153846153848</v>
      </c>
      <c r="T16" s="6">
        <f t="shared" si="11"/>
        <v>1611.7679076923077</v>
      </c>
      <c r="U16" s="6">
        <f t="shared" si="12"/>
        <v>3502.625290780744</v>
      </c>
      <c r="V16" s="3"/>
    </row>
    <row r="17" spans="2:22" ht="12.75">
      <c r="B17" t="s">
        <v>17</v>
      </c>
      <c r="C17">
        <v>452.55706373882975</v>
      </c>
      <c r="G17" s="7">
        <v>51</v>
      </c>
      <c r="H17" s="7">
        <f t="shared" si="0"/>
        <v>21</v>
      </c>
      <c r="I17" s="8">
        <f t="shared" si="1"/>
        <v>7.594003990789953</v>
      </c>
      <c r="J17" s="8">
        <f t="shared" si="2"/>
        <v>7.38695329341097</v>
      </c>
      <c r="K17" s="8">
        <f t="shared" si="3"/>
        <v>6.0190427157990785</v>
      </c>
      <c r="L17" s="8">
        <f t="shared" si="4"/>
        <v>0.11804178661424236</v>
      </c>
      <c r="M17" s="8">
        <f t="shared" si="5"/>
        <v>0.10467346800471677</v>
      </c>
      <c r="N17" s="8">
        <f t="shared" si="6"/>
        <v>0.08523178000820197</v>
      </c>
      <c r="O17" s="7">
        <f t="shared" si="8"/>
        <v>14973.768683371152</v>
      </c>
      <c r="P17" s="7">
        <f t="shared" si="9"/>
        <v>1858.8984116904396</v>
      </c>
      <c r="R17" s="6">
        <f t="shared" si="7"/>
        <v>13.854738461538462</v>
      </c>
      <c r="S17" s="7">
        <f t="shared" si="10"/>
        <v>27709.476923076923</v>
      </c>
      <c r="T17" s="9">
        <f t="shared" si="11"/>
        <v>1644.003265846154</v>
      </c>
      <c r="U17" s="9">
        <f t="shared" si="12"/>
        <v>3502.9016775365935</v>
      </c>
      <c r="V17" s="3"/>
    </row>
    <row r="18" spans="2:22" ht="12.75">
      <c r="B18" t="s">
        <v>18</v>
      </c>
      <c r="C18">
        <v>1.7469</v>
      </c>
      <c r="G18" s="7">
        <v>52</v>
      </c>
      <c r="H18" s="7">
        <f t="shared" si="0"/>
        <v>22</v>
      </c>
      <c r="I18" s="8">
        <f t="shared" si="1"/>
        <v>7.955623228446617</v>
      </c>
      <c r="J18" s="8">
        <f t="shared" si="2"/>
        <v>7.738712974049587</v>
      </c>
      <c r="K18" s="8">
        <f t="shared" si="3"/>
        <v>6.305663797503796</v>
      </c>
      <c r="L18" s="8">
        <f t="shared" si="4"/>
        <v>0.11694861876678513</v>
      </c>
      <c r="M18" s="8">
        <f t="shared" si="5"/>
        <v>0.1037041022149686</v>
      </c>
      <c r="N18" s="8">
        <f t="shared" si="6"/>
        <v>0.08444246086826893</v>
      </c>
      <c r="O18" s="7">
        <f t="shared" si="8"/>
        <v>14732.364682782789</v>
      </c>
      <c r="P18" s="7">
        <f t="shared" si="9"/>
        <v>1828.9296361097288</v>
      </c>
      <c r="R18" s="6">
        <f t="shared" si="7"/>
        <v>14.1264</v>
      </c>
      <c r="S18" s="7">
        <f t="shared" si="10"/>
        <v>28252.8</v>
      </c>
      <c r="T18" s="9">
        <f t="shared" si="11"/>
        <v>1676.238624</v>
      </c>
      <c r="U18" s="9">
        <f t="shared" si="12"/>
        <v>3505.168260109729</v>
      </c>
      <c r="V18" s="3"/>
    </row>
    <row r="19" spans="3:22" ht="12.75">
      <c r="C19" t="s">
        <v>29</v>
      </c>
      <c r="D19">
        <f>(C17/(D21^C18))^(1/D23)</f>
        <v>15.8261005604077</v>
      </c>
      <c r="G19" s="7">
        <v>53</v>
      </c>
      <c r="H19" s="7">
        <f t="shared" si="0"/>
        <v>23</v>
      </c>
      <c r="I19" s="8">
        <f t="shared" si="1"/>
        <v>8.317242466103282</v>
      </c>
      <c r="J19" s="8">
        <f t="shared" si="2"/>
        <v>8.090472654688206</v>
      </c>
      <c r="K19" s="8">
        <f t="shared" si="3"/>
        <v>6.592284879208514</v>
      </c>
      <c r="L19" s="8">
        <f t="shared" si="4"/>
        <v>0.1159135123680418</v>
      </c>
      <c r="M19" s="8">
        <f t="shared" si="5"/>
        <v>0.10278622237243103</v>
      </c>
      <c r="N19" s="8">
        <f t="shared" si="6"/>
        <v>0.08369506485374496</v>
      </c>
      <c r="O19" s="7">
        <f t="shared" si="8"/>
        <v>14505.330403894632</v>
      </c>
      <c r="P19" s="7">
        <f t="shared" si="9"/>
        <v>1800.744770338885</v>
      </c>
      <c r="R19" s="6">
        <f t="shared" si="7"/>
        <v>14.398061538461539</v>
      </c>
      <c r="S19" s="7">
        <f t="shared" si="10"/>
        <v>28796.12307692308</v>
      </c>
      <c r="T19" s="9">
        <f t="shared" si="11"/>
        <v>1708.4739821538462</v>
      </c>
      <c r="U19" s="9">
        <f t="shared" si="12"/>
        <v>3509.2187524927313</v>
      </c>
      <c r="V19" s="3"/>
    </row>
    <row r="20" spans="7:22" ht="12.75">
      <c r="G20" s="7">
        <v>54</v>
      </c>
      <c r="H20" s="7">
        <f t="shared" si="0"/>
        <v>24</v>
      </c>
      <c r="I20" s="2">
        <f t="shared" si="1"/>
        <v>8.678861703759946</v>
      </c>
      <c r="J20" s="2">
        <f t="shared" si="2"/>
        <v>8.442232335326823</v>
      </c>
      <c r="K20" s="2">
        <f t="shared" si="3"/>
        <v>6.878905960913232</v>
      </c>
      <c r="L20" s="2">
        <f t="shared" si="4"/>
        <v>0.11493105273173439</v>
      </c>
      <c r="M20" s="2">
        <f t="shared" si="5"/>
        <v>0.1019150270080045</v>
      </c>
      <c r="N20" s="2">
        <f t="shared" si="6"/>
        <v>0.08298568230379812</v>
      </c>
      <c r="O20" s="7">
        <f t="shared" si="8"/>
        <v>14291.239366957414</v>
      </c>
      <c r="P20" s="7">
        <f t="shared" si="9"/>
        <v>1774.1667259644105</v>
      </c>
      <c r="R20" s="3">
        <f t="shared" si="7"/>
        <v>14.669723076923077</v>
      </c>
      <c r="S20" s="7">
        <f t="shared" si="10"/>
        <v>29339.446153846155</v>
      </c>
      <c r="T20" s="9">
        <f t="shared" si="11"/>
        <v>1740.7093403076924</v>
      </c>
      <c r="U20" s="9">
        <f t="shared" si="12"/>
        <v>3514.876066272103</v>
      </c>
      <c r="V20" s="3"/>
    </row>
    <row r="21" spans="2:21" ht="12.75">
      <c r="B21" t="s">
        <v>0</v>
      </c>
      <c r="C21" t="s">
        <v>1</v>
      </c>
      <c r="D21">
        <f>1.6465/(C5^0.2)</f>
        <v>3.9243981705679936</v>
      </c>
      <c r="I21" s="2"/>
      <c r="J21" s="2"/>
      <c r="K21" s="2"/>
      <c r="L21" s="2"/>
      <c r="M21" s="2"/>
      <c r="N21" s="2"/>
      <c r="R21" s="3"/>
      <c r="T21" s="3"/>
      <c r="U21" s="3"/>
    </row>
    <row r="22" spans="2:21" ht="12.75">
      <c r="B22" t="s">
        <v>2</v>
      </c>
      <c r="C22" t="s">
        <v>3</v>
      </c>
      <c r="D22">
        <f>C18/(C7*C18+2+C6)</f>
        <v>0.5178378218144629</v>
      </c>
      <c r="I22" s="2"/>
      <c r="J22" s="2"/>
      <c r="K22" s="2"/>
      <c r="L22" s="2"/>
      <c r="M22" s="2"/>
      <c r="N22" s="2"/>
      <c r="R22" s="3"/>
      <c r="T22" s="3"/>
      <c r="U22" s="3"/>
    </row>
    <row r="23" spans="2:21" ht="12.75">
      <c r="B23" t="s">
        <v>4</v>
      </c>
      <c r="C23" t="s">
        <v>5</v>
      </c>
      <c r="D23">
        <f>(C7*C18+2+C6)/(2+C6)</f>
        <v>1.34938</v>
      </c>
      <c r="I23" s="2"/>
      <c r="J23" s="2"/>
      <c r="K23" s="2"/>
      <c r="L23" s="2"/>
      <c r="M23" s="2"/>
      <c r="N23" s="2"/>
      <c r="R23" s="3"/>
      <c r="T23" s="3"/>
      <c r="U23" s="3"/>
    </row>
    <row r="24" spans="2:9" ht="12.75">
      <c r="B24" t="s">
        <v>6</v>
      </c>
      <c r="D24">
        <v>0.6</v>
      </c>
      <c r="H24" t="s">
        <v>41</v>
      </c>
      <c r="I24">
        <v>0.12414365755194319</v>
      </c>
    </row>
    <row r="25" spans="8:9" ht="12.75">
      <c r="H25" t="s">
        <v>45</v>
      </c>
      <c r="I25">
        <v>30</v>
      </c>
    </row>
    <row r="26" spans="2:9" ht="12.75">
      <c r="B26" t="s">
        <v>19</v>
      </c>
      <c r="C26" t="s">
        <v>7</v>
      </c>
      <c r="D26">
        <f>((C$17/(D$21^C$18))^(1/D$23))*C8*(C12^D$22)</f>
        <v>988.2300134253112</v>
      </c>
      <c r="E26">
        <f>D19*C8*(C12^D22)</f>
        <v>988.2300134253112</v>
      </c>
      <c r="F26" s="1">
        <f>D26/D29</f>
        <v>0.3616192376566644</v>
      </c>
      <c r="H26" t="s">
        <v>46</v>
      </c>
      <c r="I26">
        <v>0.05933</v>
      </c>
    </row>
    <row r="27" spans="2:9" ht="12.75">
      <c r="B27" t="s">
        <v>20</v>
      </c>
      <c r="D27">
        <f>((C$17/(D$21^C$18))^(1/D$23))*C9*(C14^D$22)</f>
        <v>961.2858988714199</v>
      </c>
      <c r="E27">
        <f>D19*C9*(C14^D22)</f>
        <v>961.2858988714199</v>
      </c>
      <c r="F27" s="1">
        <f>D27/D29</f>
        <v>0.3517596806386176</v>
      </c>
      <c r="H27" t="s">
        <v>47</v>
      </c>
      <c r="I27">
        <v>0.65</v>
      </c>
    </row>
    <row r="28" spans="2:9" ht="12.75">
      <c r="B28" t="s">
        <v>21</v>
      </c>
      <c r="D28">
        <f>((C$17/(D$21^C$18))^(1/D$23))*C10*(C16^D$22)</f>
        <v>783.2756831647246</v>
      </c>
      <c r="E28">
        <f>D19*C10*(C16^D22)</f>
        <v>783.2756831647246</v>
      </c>
      <c r="F28" s="1">
        <f>D28/D29</f>
        <v>0.286621081704718</v>
      </c>
      <c r="H28" t="s">
        <v>17</v>
      </c>
      <c r="I28">
        <v>2000</v>
      </c>
    </row>
    <row r="29" spans="3:4" ht="12.75">
      <c r="C29" t="s">
        <v>30</v>
      </c>
      <c r="D29">
        <f>SUM(D26:D28)</f>
        <v>2732.7915954614555</v>
      </c>
    </row>
    <row r="34" spans="2:4" ht="12.75">
      <c r="B34" t="s">
        <v>8</v>
      </c>
      <c r="C34" t="s">
        <v>9</v>
      </c>
      <c r="D34">
        <f>(1/D21)*((C12*((C8/D24)^C7))^(1/(C6+2)))</f>
        <v>0.19610997677160233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16"/>
  <sheetViews>
    <sheetView workbookViewId="0" topLeftCell="B1">
      <selection activeCell="D15" sqref="D15"/>
    </sheetView>
  </sheetViews>
  <sheetFormatPr defaultColWidth="9.140625" defaultRowHeight="12.75"/>
  <sheetData>
    <row r="2" spans="7:9" ht="12.75">
      <c r="G2" t="s">
        <v>36</v>
      </c>
      <c r="H2" t="s">
        <v>37</v>
      </c>
      <c r="I2" t="s">
        <v>38</v>
      </c>
    </row>
    <row r="3" spans="7:9" ht="12.75">
      <c r="G3" t="s">
        <v>60</v>
      </c>
      <c r="H3" t="s">
        <v>56</v>
      </c>
      <c r="I3" t="s">
        <v>61</v>
      </c>
    </row>
    <row r="4" spans="6:14" ht="12.75">
      <c r="F4" t="s">
        <v>59</v>
      </c>
      <c r="G4">
        <v>500</v>
      </c>
      <c r="H4">
        <v>600</v>
      </c>
      <c r="I4">
        <v>700</v>
      </c>
      <c r="L4" t="s">
        <v>63</v>
      </c>
      <c r="N4">
        <v>34</v>
      </c>
    </row>
    <row r="5" spans="6:14" ht="12.75">
      <c r="F5" t="s">
        <v>57</v>
      </c>
      <c r="G5">
        <v>203.4</v>
      </c>
      <c r="H5">
        <v>180.8</v>
      </c>
      <c r="I5">
        <v>126.6</v>
      </c>
      <c r="L5" t="s">
        <v>64</v>
      </c>
      <c r="N5">
        <f>500*27+600*20.5+700*12.4</f>
        <v>34480</v>
      </c>
    </row>
    <row r="6" spans="6:9" ht="12.75">
      <c r="F6" t="s">
        <v>58</v>
      </c>
      <c r="G6">
        <v>0.018</v>
      </c>
      <c r="H6">
        <v>0.012</v>
      </c>
      <c r="I6">
        <v>0.006</v>
      </c>
    </row>
    <row r="7" spans="6:9" ht="12.75">
      <c r="F7" t="s">
        <v>53</v>
      </c>
      <c r="G7">
        <v>0.553962959222058</v>
      </c>
      <c r="H7">
        <v>0.4674062468436115</v>
      </c>
      <c r="I7">
        <v>0.476643810312423</v>
      </c>
    </row>
    <row r="8" spans="3:10" ht="12.75">
      <c r="C8" t="s">
        <v>50</v>
      </c>
      <c r="D8">
        <v>0.006</v>
      </c>
      <c r="F8" t="s">
        <v>32</v>
      </c>
      <c r="G8">
        <v>0.7380583581077721</v>
      </c>
      <c r="H8">
        <v>0.7518759585254641</v>
      </c>
      <c r="I8">
        <v>1.409698185212765</v>
      </c>
      <c r="J8" s="4">
        <f>SUM(G8:I8)</f>
        <v>2.899632501846001</v>
      </c>
    </row>
    <row r="9" spans="3:4" ht="12.75">
      <c r="C9" t="s">
        <v>51</v>
      </c>
      <c r="D9">
        <v>126.6</v>
      </c>
    </row>
    <row r="10" spans="3:9" ht="12.75">
      <c r="C10" t="s">
        <v>52</v>
      </c>
      <c r="D10">
        <v>700</v>
      </c>
      <c r="F10" t="s">
        <v>62</v>
      </c>
      <c r="G10">
        <f>34-G8</f>
        <v>33.26194164189223</v>
      </c>
      <c r="H10">
        <f>34-G8-H8</f>
        <v>32.51006568336676</v>
      </c>
      <c r="I10">
        <f>34-G8-H8-I8</f>
        <v>31.100367498153997</v>
      </c>
    </row>
    <row r="13" spans="3:4" ht="12.75">
      <c r="C13" t="s">
        <v>53</v>
      </c>
      <c r="D13">
        <f>(D8)/(PI()*((D9/1000)^2)/4)</f>
        <v>0.476643810312423</v>
      </c>
    </row>
    <row r="14" spans="3:4" ht="12.75">
      <c r="C14" t="s">
        <v>54</v>
      </c>
      <c r="D14">
        <f>(D13*(D9/1000))/(1.31*10^-6)</f>
        <v>46063.439988971564</v>
      </c>
    </row>
    <row r="15" spans="3:4" ht="12.75">
      <c r="C15" t="s">
        <v>11</v>
      </c>
      <c r="D15">
        <f>(1/(-2*LOG((0.03/(3.7*D9)+(6/(D14^0.90458))))))^2</f>
        <v>0.022017747861688676</v>
      </c>
    </row>
    <row r="16" spans="3:4" ht="12.75">
      <c r="C16" t="s">
        <v>55</v>
      </c>
      <c r="D16">
        <f>D15*(D10/(D9/1000))*((D13^2)/(2*9.81))</f>
        <v>1.409698185212765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1:L23"/>
  <sheetViews>
    <sheetView tabSelected="1" workbookViewId="0" topLeftCell="C1">
      <selection activeCell="E14" sqref="E14"/>
    </sheetView>
  </sheetViews>
  <sheetFormatPr defaultColWidth="9.140625" defaultRowHeight="12.75"/>
  <cols>
    <col min="5" max="5" width="12.28125" style="0" bestFit="1" customWidth="1"/>
    <col min="9" max="9" width="21.7109375" style="0" customWidth="1"/>
    <col min="11" max="11" width="31.57421875" style="0" customWidth="1"/>
  </cols>
  <sheetData>
    <row r="1" ht="18">
      <c r="I1" s="10" t="s">
        <v>80</v>
      </c>
    </row>
    <row r="4" spans="4:5" ht="12.75">
      <c r="D4" t="s">
        <v>11</v>
      </c>
      <c r="E4">
        <v>0.013</v>
      </c>
    </row>
    <row r="5" spans="4:5" ht="12.75">
      <c r="D5" t="s">
        <v>65</v>
      </c>
      <c r="E5">
        <f>ο1/((PI()*(Δ1^2)/4))</f>
        <v>1.6247853167433062</v>
      </c>
    </row>
    <row r="6" spans="4:5" ht="12.75">
      <c r="D6" t="s">
        <v>66</v>
      </c>
      <c r="E6">
        <f>ο2/(PI()*(E12^2)/4)</f>
        <v>1.3775414158032009</v>
      </c>
    </row>
    <row r="7" spans="4:5" ht="12.75">
      <c r="D7" t="s">
        <v>67</v>
      </c>
      <c r="E7">
        <f>ο3/((PI()*(E13^2))/4)</f>
        <v>1.0481088309493118</v>
      </c>
    </row>
    <row r="8" spans="4:8" ht="12.75">
      <c r="D8" t="s">
        <v>68</v>
      </c>
      <c r="E8">
        <v>0.018</v>
      </c>
      <c r="G8" t="s">
        <v>24</v>
      </c>
      <c r="H8">
        <f>((PI()*Δ1^2)/4)*ταχ1</f>
        <v>0.018</v>
      </c>
    </row>
    <row r="9" spans="4:8" ht="12.75">
      <c r="D9" t="s">
        <v>27</v>
      </c>
      <c r="E9">
        <v>0.012</v>
      </c>
      <c r="G9" t="s">
        <v>77</v>
      </c>
      <c r="H9">
        <f>((PI()*Δ2^2)/4)*ταχ2</f>
        <v>0.012</v>
      </c>
    </row>
    <row r="10" spans="4:8" ht="12.75">
      <c r="D10" t="s">
        <v>69</v>
      </c>
      <c r="E10">
        <v>0.006</v>
      </c>
      <c r="G10" t="s">
        <v>28</v>
      </c>
      <c r="H10">
        <f>((PI()*Δ3^2)/4)*ταχ3</f>
        <v>0.005999999999999999</v>
      </c>
    </row>
    <row r="11" spans="4:5" ht="12.75">
      <c r="D11" t="s">
        <v>70</v>
      </c>
      <c r="E11">
        <v>0.11876632521184718</v>
      </c>
    </row>
    <row r="12" spans="4:12" ht="12.75">
      <c r="D12" t="s">
        <v>71</v>
      </c>
      <c r="E12">
        <v>0.10531575607248361</v>
      </c>
      <c r="G12" t="s">
        <v>78</v>
      </c>
      <c r="H12">
        <f>(E4/(2*9.81))*((Λ1*(ταχ1^2)/Δ1)+(Λ2*(ταχ2^2)/Δ2)+(Λ3*(ταχ3^2)/Δ3))</f>
        <v>20.49524520748139</v>
      </c>
      <c r="K12" t="s">
        <v>79</v>
      </c>
      <c r="L12">
        <f>E23*(9810*ο1*(H12+30)/(E22*1000))*E21</f>
        <v>1627.732314329446</v>
      </c>
    </row>
    <row r="13" spans="4:5" ht="12.75">
      <c r="D13" t="s">
        <v>72</v>
      </c>
      <c r="E13">
        <v>0.08537436655681309</v>
      </c>
    </row>
    <row r="14" spans="4:5" ht="12.75">
      <c r="D14" t="s">
        <v>73</v>
      </c>
      <c r="E14">
        <v>500</v>
      </c>
    </row>
    <row r="15" spans="4:5" ht="12.75">
      <c r="D15" t="s">
        <v>74</v>
      </c>
      <c r="E15">
        <v>600</v>
      </c>
    </row>
    <row r="16" spans="4:5" ht="12.75">
      <c r="D16" t="s">
        <v>75</v>
      </c>
      <c r="E16">
        <v>700</v>
      </c>
    </row>
    <row r="17" spans="4:5" ht="12.75">
      <c r="D17" t="s">
        <v>76</v>
      </c>
      <c r="E17">
        <v>452.55706373882975</v>
      </c>
    </row>
    <row r="18" spans="4:12" ht="12.75">
      <c r="D18" t="s">
        <v>18</v>
      </c>
      <c r="E18">
        <v>1.7469</v>
      </c>
      <c r="I18" t="s">
        <v>81</v>
      </c>
      <c r="J18">
        <f>(Λ1*E17*(Δ1^E18)+Λ2*E17*(Δ2^E18)+Λ3*E17*(Δ3^E18))</f>
        <v>15101.100961723645</v>
      </c>
      <c r="K18" t="s">
        <v>82</v>
      </c>
      <c r="L18">
        <f>(Λ1*E17*(Δ1^E18)+Λ2*E17*(Δ2^E18)+Λ3*E17*(Δ3^E18))*E19</f>
        <v>1874.7059064495402</v>
      </c>
    </row>
    <row r="19" spans="4:10" ht="12.75">
      <c r="D19" t="s">
        <v>41</v>
      </c>
      <c r="E19">
        <v>0.12414365755194319</v>
      </c>
      <c r="I19" t="s">
        <v>49</v>
      </c>
      <c r="J19" s="4">
        <f>L18+L12</f>
        <v>3502.438220778986</v>
      </c>
    </row>
    <row r="20" spans="4:5" ht="12.75">
      <c r="D20" t="s">
        <v>45</v>
      </c>
      <c r="E20">
        <v>30</v>
      </c>
    </row>
    <row r="21" spans="4:5" ht="12.75">
      <c r="D21" t="s">
        <v>46</v>
      </c>
      <c r="E21">
        <v>0.05933</v>
      </c>
    </row>
    <row r="22" spans="4:5" ht="12.75">
      <c r="D22" t="s">
        <v>47</v>
      </c>
      <c r="E22">
        <v>0.65</v>
      </c>
    </row>
    <row r="23" spans="4:5" ht="12.75">
      <c r="D23" t="s">
        <v>17</v>
      </c>
      <c r="E23">
        <v>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evangelides</cp:lastModifiedBy>
  <dcterms:created xsi:type="dcterms:W3CDTF">2013-04-17T10:12:39Z</dcterms:created>
  <dcterms:modified xsi:type="dcterms:W3CDTF">2013-04-25T13:06:27Z</dcterms:modified>
  <cp:category/>
  <cp:version/>
  <cp:contentType/>
  <cp:contentStatus/>
</cp:coreProperties>
</file>