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2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<sst xmlns="http://schemas.openxmlformats.org/spreadsheetml/2006/main" count="62" uniqueCount="55">
  <si>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D</t>
  </si>
  <si>
    <t>Φ</t>
  </si>
  <si>
    <t>PN 10</t>
  </si>
  <si>
    <t>A=</t>
  </si>
  <si>
    <t>ν=</t>
  </si>
  <si>
    <t>f=</t>
  </si>
  <si>
    <t>x=</t>
  </si>
  <si>
    <t>y=</t>
  </si>
  <si>
    <t>l=</t>
  </si>
  <si>
    <t>m</t>
  </si>
  <si>
    <t>Q=</t>
  </si>
  <si>
    <t>l/s</t>
  </si>
  <si>
    <t>m^3/s</t>
  </si>
  <si>
    <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</si>
  <si>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t>z=</t>
  </si>
  <si>
    <t>ω=</t>
  </si>
  <si>
    <t>ν/(yν+2+x)</t>
  </si>
  <si>
    <t>(yν+2+x)/(2+x)</t>
  </si>
  <si>
    <t>Φ=</t>
  </si>
  <si>
    <t>μετατροπη σε μετρα</t>
  </si>
  <si>
    <t>eu</t>
  </si>
  <si>
    <t>D=</t>
  </si>
  <si>
    <t>δh=</t>
  </si>
  <si>
    <r>
      <t>1/C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*(Q*(l/δh)^y)^(1/(x+2))</t>
    </r>
  </si>
  <si>
    <r>
      <t>(A/C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^ν)^1/ω*l*Q^z</t>
    </r>
  </si>
  <si>
    <t>1.6465/f^0.2</t>
  </si>
  <si>
    <t>ΣΤΟΙΧΕΙΑ</t>
  </si>
  <si>
    <t>Η</t>
  </si>
  <si>
    <t>δη</t>
  </si>
  <si>
    <t>D υπ</t>
  </si>
  <si>
    <t>κοστος/μ</t>
  </si>
  <si>
    <t>ολικο κοστος</t>
  </si>
  <si>
    <t>κοστος/χρονο</t>
  </si>
  <si>
    <t xml:space="preserve">κοστος σωλ </t>
  </si>
  <si>
    <t>κοστος αντλιοστ</t>
  </si>
  <si>
    <t>N=</t>
  </si>
  <si>
    <t>ε=</t>
  </si>
  <si>
    <t>Τ= 12/100</t>
  </si>
  <si>
    <t>Kwh</t>
  </si>
  <si>
    <t>Kw</t>
  </si>
  <si>
    <t>ΣΥΝΟΛΟ</t>
  </si>
  <si>
    <t>β=</t>
  </si>
  <si>
    <t>n=</t>
  </si>
  <si>
    <t>V m/s</t>
  </si>
  <si>
    <t>Φ επιλογης</t>
  </si>
  <si>
    <t>Φ υπολ</t>
  </si>
  <si>
    <t>V=</t>
  </si>
  <si>
    <t>Re=</t>
  </si>
  <si>
    <t>δη=</t>
  </si>
  <si>
    <t>D= mm</t>
  </si>
  <si>
    <t>L=m</t>
  </si>
  <si>
    <t>Q= m3/s</t>
  </si>
  <si>
    <t>πιεση στο τελος=</t>
  </si>
  <si>
    <t xml:space="preserve">κοστος αγωγου πραγματικο </t>
  </si>
  <si>
    <t xml:space="preserve"> για αντλια 4.1 atm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</si>
</sst>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8">
    <font>
      <sz val="10"/>
      <name val="Arial"/>
      <family val="0"/>
    </font>
    <font>
      <sz val="8.25"/>
      <name val="Arial"/>
      <family val="0"/>
    </font>
    <font>
      <vertAlign val="superscript"/>
      <sz val="11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</fonts>
  <fills count="3">
    <fill>
      <patternFill/>
    </fill>
    <fill>
      <patternFill patternType="gray125"/>
    </fill>
    <fill>
      <patternFill patternType="lightVertical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75"/>
          <c:y val="0"/>
          <c:w val="0.8505"/>
          <c:h val="0.92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0.0026x</a:t>
                    </a:r>
                    <a:r>
                      <a:rPr lang="en-US" cap="none" sz="1100" b="0" i="0" u="none" baseline="30000">
                        <a:latin typeface="Arial"/>
                        <a:ea typeface="Arial"/>
                        <a:cs typeface="Arial"/>
                      </a:rPr>
                      <a:t>1.7469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Sheet1!$D$3:$D$18</c:f>
              <c:numCache>
                <c:ptCount val="16"/>
                <c:pt idx="0">
                  <c:v>61.2</c:v>
                </c:pt>
                <c:pt idx="1">
                  <c:v>73.6</c:v>
                </c:pt>
                <c:pt idx="2">
                  <c:v>90</c:v>
                </c:pt>
                <c:pt idx="3">
                  <c:v>102.2</c:v>
                </c:pt>
                <c:pt idx="4">
                  <c:v>114.4</c:v>
                </c:pt>
                <c:pt idx="5">
                  <c:v>130.8</c:v>
                </c:pt>
                <c:pt idx="6">
                  <c:v>147.2</c:v>
                </c:pt>
                <c:pt idx="7">
                  <c:v>163.6</c:v>
                </c:pt>
                <c:pt idx="8">
                  <c:v>184</c:v>
                </c:pt>
                <c:pt idx="9">
                  <c:v>204.4</c:v>
                </c:pt>
                <c:pt idx="10">
                  <c:v>229</c:v>
                </c:pt>
                <c:pt idx="11">
                  <c:v>257.6</c:v>
                </c:pt>
                <c:pt idx="12">
                  <c:v>290.4</c:v>
                </c:pt>
                <c:pt idx="13">
                  <c:v>327.2</c:v>
                </c:pt>
                <c:pt idx="14">
                  <c:v>368</c:v>
                </c:pt>
                <c:pt idx="15">
                  <c:v>409</c:v>
                </c:pt>
              </c:numCache>
            </c:numRef>
          </c:xVal>
          <c:yVal>
            <c:numRef>
              <c:f>Sheet1!$E$3:$E$18</c:f>
              <c:numCache>
                <c:ptCount val="16"/>
                <c:pt idx="0">
                  <c:v>4.04</c:v>
                </c:pt>
                <c:pt idx="1">
                  <c:v>5.76</c:v>
                </c:pt>
                <c:pt idx="2">
                  <c:v>8.55</c:v>
                </c:pt>
                <c:pt idx="3">
                  <c:v>11.09</c:v>
                </c:pt>
                <c:pt idx="4">
                  <c:v>13.91</c:v>
                </c:pt>
                <c:pt idx="5">
                  <c:v>18.11</c:v>
                </c:pt>
                <c:pt idx="6">
                  <c:v>23.83</c:v>
                </c:pt>
                <c:pt idx="7">
                  <c:v>28.14</c:v>
                </c:pt>
                <c:pt idx="8">
                  <c:v>35.79</c:v>
                </c:pt>
                <c:pt idx="9">
                  <c:v>43.99</c:v>
                </c:pt>
                <c:pt idx="10">
                  <c:v>64.48</c:v>
                </c:pt>
                <c:pt idx="11">
                  <c:v>81.71</c:v>
                </c:pt>
                <c:pt idx="12">
                  <c:v>103.41</c:v>
                </c:pt>
                <c:pt idx="13">
                  <c:v>144.65</c:v>
                </c:pt>
                <c:pt idx="14">
                  <c:v>182.93</c:v>
                </c:pt>
                <c:pt idx="15">
                  <c:v>225.76</c:v>
                </c:pt>
              </c:numCache>
            </c:numRef>
          </c:yVal>
          <c:smooth val="0"/>
        </c:ser>
        <c:axId val="38635178"/>
        <c:axId val="12172283"/>
      </c:scatterChart>
      <c:val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72283"/>
        <c:crosses val="autoZero"/>
        <c:crossBetween val="midCat"/>
        <c:dispUnits/>
      </c:valAx>
      <c:valAx>
        <c:axId val="12172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351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4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99"/>
          <c:w val="0.91975"/>
          <c:h val="0.9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Sheet2!$F$5:$F$19</c:f>
              <c:numCache>
                <c:ptCount val="15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  <c:pt idx="13">
                  <c:v>55</c:v>
                </c:pt>
                <c:pt idx="14">
                  <c:v>56</c:v>
                </c:pt>
              </c:numCache>
            </c:numRef>
          </c:xVal>
          <c:yVal>
            <c:numRef>
              <c:f>Sheet2!$Q$5:$Q$19</c:f>
              <c:numCache>
                <c:ptCount val="15"/>
                <c:pt idx="0">
                  <c:v>3787.4611805839504</c:v>
                </c:pt>
                <c:pt idx="1">
                  <c:v>3638.9666046385064</c:v>
                </c:pt>
                <c:pt idx="2">
                  <c:v>3565.6299431840453</c:v>
                </c:pt>
                <c:pt idx="3">
                  <c:v>3529.2273723968783</c:v>
                </c:pt>
                <c:pt idx="4">
                  <c:v>3514.3542066818236</c:v>
                </c:pt>
                <c:pt idx="5">
                  <c:v>3513.393865896523</c:v>
                </c:pt>
                <c:pt idx="6">
                  <c:v>3522.071521611201</c:v>
                </c:pt>
                <c:pt idx="7">
                  <c:v>3537.7695004845814</c:v>
                </c:pt>
                <c:pt idx="8">
                  <c:v>3558.7791927135972</c:v>
                </c:pt>
                <c:pt idx="9">
                  <c:v>3583.9294358019038</c:v>
                </c:pt>
                <c:pt idx="10">
                  <c:v>3612.3857534314475</c:v>
                </c:pt>
                <c:pt idx="11">
                  <c:v>3643.534563233776</c:v>
                </c:pt>
                <c:pt idx="12">
                  <c:v>3676.9127874247815</c:v>
                </c:pt>
                <c:pt idx="13">
                  <c:v>3712.163173769513</c:v>
                </c:pt>
                <c:pt idx="14">
                  <c:v>3749.0048906070556</c:v>
                </c:pt>
              </c:numCache>
            </c:numRef>
          </c:yVal>
          <c:smooth val="0"/>
        </c:ser>
        <c:axId val="42441684"/>
        <c:axId val="46430837"/>
      </c:scatterChart>
      <c:val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30837"/>
        <c:crosses val="autoZero"/>
        <c:crossBetween val="midCat"/>
        <c:dispUnits/>
      </c:valAx>
      <c:valAx>
        <c:axId val="46430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133350</xdr:rowOff>
    </xdr:from>
    <xdr:to>
      <xdr:col>14</xdr:col>
      <xdr:colOff>600075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4343400" y="295275"/>
        <a:ext cx="4791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20</xdr:row>
      <xdr:rowOff>47625</xdr:rowOff>
    </xdr:from>
    <xdr:to>
      <xdr:col>17</xdr:col>
      <xdr:colOff>47625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7239000" y="3362325"/>
        <a:ext cx="38385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5"/>
  <sheetViews>
    <sheetView tabSelected="1" workbookViewId="0" topLeftCell="A1">
      <selection activeCell="E21" sqref="E21"/>
    </sheetView>
  </sheetViews>
  <sheetFormatPr defaultColWidth="9.140625" defaultRowHeight="12.75"/>
  <sheetData>
    <row r="1" ht="12.75">
      <c r="D1" t="s">
        <v>2</v>
      </c>
    </row>
    <row r="2" spans="3:5" ht="12.75">
      <c r="C2" s="1" t="s">
        <v>1</v>
      </c>
      <c r="D2" s="1" t="s">
        <v>0</v>
      </c>
      <c r="E2" s="1" t="s">
        <v>20</v>
      </c>
    </row>
    <row r="3" spans="3:5" ht="12.75">
      <c r="C3">
        <v>75</v>
      </c>
      <c r="D3" s="2">
        <v>61.2</v>
      </c>
      <c r="E3" s="2">
        <v>4.04</v>
      </c>
    </row>
    <row r="4" spans="3:5" ht="12.75">
      <c r="C4">
        <v>90</v>
      </c>
      <c r="D4" s="2">
        <v>73.6</v>
      </c>
      <c r="E4" s="2">
        <v>5.76</v>
      </c>
    </row>
    <row r="5" spans="3:5" ht="12.75">
      <c r="C5">
        <v>110</v>
      </c>
      <c r="D5" s="2">
        <v>90</v>
      </c>
      <c r="E5" s="2">
        <v>8.55</v>
      </c>
    </row>
    <row r="6" spans="3:5" ht="12.75">
      <c r="C6">
        <v>125</v>
      </c>
      <c r="D6" s="2">
        <v>102.2</v>
      </c>
      <c r="E6" s="2">
        <v>11.09</v>
      </c>
    </row>
    <row r="7" spans="3:5" ht="12.75">
      <c r="C7">
        <v>140</v>
      </c>
      <c r="D7" s="2">
        <v>114.4</v>
      </c>
      <c r="E7" s="2">
        <v>13.91</v>
      </c>
    </row>
    <row r="8" spans="3:5" ht="12.75">
      <c r="C8">
        <v>160</v>
      </c>
      <c r="D8" s="2">
        <v>130.8</v>
      </c>
      <c r="E8" s="2">
        <v>18.11</v>
      </c>
    </row>
    <row r="9" spans="3:5" ht="12.75">
      <c r="C9">
        <v>180</v>
      </c>
      <c r="D9" s="2">
        <v>147.2</v>
      </c>
      <c r="E9" s="2">
        <v>23.83</v>
      </c>
    </row>
    <row r="10" spans="3:5" ht="12.75">
      <c r="C10">
        <v>200</v>
      </c>
      <c r="D10" s="2">
        <v>163.6</v>
      </c>
      <c r="E10" s="2">
        <v>28.14</v>
      </c>
    </row>
    <row r="11" spans="3:5" ht="12.75">
      <c r="C11">
        <v>225</v>
      </c>
      <c r="D11" s="2">
        <v>184</v>
      </c>
      <c r="E11" s="2">
        <v>35.79</v>
      </c>
    </row>
    <row r="12" spans="3:5" ht="12.75">
      <c r="C12">
        <v>250</v>
      </c>
      <c r="D12" s="2">
        <v>204.4</v>
      </c>
      <c r="E12" s="2">
        <v>43.99</v>
      </c>
    </row>
    <row r="13" spans="3:5" ht="12.75">
      <c r="C13">
        <v>280</v>
      </c>
      <c r="D13" s="2">
        <v>229</v>
      </c>
      <c r="E13" s="2">
        <v>64.48</v>
      </c>
    </row>
    <row r="14" spans="3:5" ht="12.75">
      <c r="C14">
        <v>315</v>
      </c>
      <c r="D14" s="2">
        <v>257.6</v>
      </c>
      <c r="E14" s="2">
        <v>81.71</v>
      </c>
    </row>
    <row r="15" spans="3:5" ht="12.75">
      <c r="C15">
        <v>355</v>
      </c>
      <c r="D15" s="2">
        <v>290.4</v>
      </c>
      <c r="E15" s="2">
        <v>103.41</v>
      </c>
    </row>
    <row r="16" spans="3:5" ht="12.75">
      <c r="C16">
        <v>400</v>
      </c>
      <c r="D16" s="2">
        <v>327.2</v>
      </c>
      <c r="E16" s="2">
        <v>144.65</v>
      </c>
    </row>
    <row r="17" spans="3:5" ht="12.75">
      <c r="C17">
        <v>450</v>
      </c>
      <c r="D17" s="2">
        <v>368</v>
      </c>
      <c r="E17" s="2">
        <v>182.93</v>
      </c>
    </row>
    <row r="18" spans="3:5" ht="12.75">
      <c r="C18">
        <v>500</v>
      </c>
      <c r="D18" s="2">
        <v>409</v>
      </c>
      <c r="E18" s="2">
        <v>225.76</v>
      </c>
    </row>
    <row r="19" spans="3:5" ht="12.75">
      <c r="C19">
        <v>560</v>
      </c>
      <c r="D19" s="2">
        <v>458</v>
      </c>
      <c r="E19" s="2">
        <v>283.34</v>
      </c>
    </row>
    <row r="20" spans="3:5" ht="12.75">
      <c r="C20">
        <v>630</v>
      </c>
      <c r="D20" s="2">
        <v>515.4</v>
      </c>
      <c r="E20" s="2">
        <v>358.13</v>
      </c>
    </row>
    <row r="24" spans="4:10" ht="12.75">
      <c r="D24" t="s">
        <v>3</v>
      </c>
      <c r="E24">
        <v>0.0026</v>
      </c>
      <c r="G24" t="s">
        <v>19</v>
      </c>
      <c r="I24" t="s">
        <v>3</v>
      </c>
      <c r="J24">
        <f>E24*(1000^E25)</f>
        <v>452.55706373882975</v>
      </c>
    </row>
    <row r="25" spans="4:10" ht="12.75">
      <c r="D25" t="s">
        <v>4</v>
      </c>
      <c r="E25">
        <v>1.7469</v>
      </c>
      <c r="I25" t="s">
        <v>4</v>
      </c>
      <c r="J25">
        <v>1.7469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1"/>
  <sheetViews>
    <sheetView workbookViewId="0" topLeftCell="A4">
      <selection activeCell="R26" sqref="R26"/>
    </sheetView>
  </sheetViews>
  <sheetFormatPr defaultColWidth="9.140625" defaultRowHeight="12.75"/>
  <cols>
    <col min="3" max="3" width="21.7109375" style="0" customWidth="1"/>
    <col min="4" max="4" width="7.7109375" style="0" customWidth="1"/>
    <col min="5" max="5" width="3.421875" style="0" customWidth="1"/>
    <col min="6" max="6" width="9.57421875" style="0" customWidth="1"/>
    <col min="8" max="9" width="7.8515625" style="0" customWidth="1"/>
    <col min="11" max="11" width="11.57421875" style="0" customWidth="1"/>
    <col min="12" max="12" width="13.00390625" style="0" customWidth="1"/>
    <col min="17" max="17" width="9.57421875" style="0" bestFit="1" customWidth="1"/>
  </cols>
  <sheetData>
    <row r="1" spans="3:14" ht="12.75">
      <c r="C1" t="s">
        <v>26</v>
      </c>
      <c r="E1" s="4"/>
      <c r="K1" t="s">
        <v>33</v>
      </c>
      <c r="N1" t="s">
        <v>34</v>
      </c>
    </row>
    <row r="2" spans="5:17" ht="12.75">
      <c r="E2" s="4"/>
      <c r="Q2" t="s">
        <v>40</v>
      </c>
    </row>
    <row r="3" spans="5:15" ht="12.75">
      <c r="E3" s="4"/>
      <c r="J3" t="s">
        <v>30</v>
      </c>
      <c r="K3" t="s">
        <v>31</v>
      </c>
      <c r="L3" t="s">
        <v>32</v>
      </c>
      <c r="M3" t="s">
        <v>39</v>
      </c>
      <c r="N3" t="s">
        <v>38</v>
      </c>
      <c r="O3" t="s">
        <v>32</v>
      </c>
    </row>
    <row r="4" spans="2:9" ht="12.75">
      <c r="B4" t="s">
        <v>5</v>
      </c>
      <c r="C4">
        <v>0.013</v>
      </c>
      <c r="E4" s="4"/>
      <c r="F4" t="s">
        <v>27</v>
      </c>
      <c r="G4" t="s">
        <v>28</v>
      </c>
      <c r="H4" t="s">
        <v>29</v>
      </c>
      <c r="I4" t="s">
        <v>43</v>
      </c>
    </row>
    <row r="5" spans="2:17" ht="12.75">
      <c r="B5" t="s">
        <v>6</v>
      </c>
      <c r="C5">
        <v>0.5</v>
      </c>
      <c r="E5" s="4"/>
      <c r="F5" s="7">
        <f aca="true" t="shared" si="0" ref="F5:F13">40+G5</f>
        <v>42</v>
      </c>
      <c r="G5" s="5">
        <v>2</v>
      </c>
      <c r="H5" s="3">
        <v>0.1890877695633083</v>
      </c>
      <c r="I5" s="3">
        <f aca="true" t="shared" si="1" ref="I5:I13">C$9/(PI()*(H5^2)/4)</f>
        <v>1.068327715232963</v>
      </c>
      <c r="J5" s="3">
        <f>C$10*H5^C$11</f>
        <v>24.66474953300191</v>
      </c>
      <c r="K5" s="3">
        <f>J5*500</f>
        <v>12332.374766500954</v>
      </c>
      <c r="L5" s="3">
        <f>K5*G$27</f>
        <v>1530.9861098147198</v>
      </c>
      <c r="M5" s="8">
        <f>(9810*C$9*F5)/(G$29*1000)</f>
        <v>19.01630769230769</v>
      </c>
      <c r="N5" s="2">
        <f>G$30*M5</f>
        <v>38032.61538461538</v>
      </c>
      <c r="O5">
        <f aca="true" t="shared" si="2" ref="O5:O19">N5*G$28</f>
        <v>2256.4750707692306</v>
      </c>
      <c r="Q5" s="3">
        <f aca="true" t="shared" si="3" ref="Q5:Q19">L5+O5</f>
        <v>3787.4611805839504</v>
      </c>
    </row>
    <row r="6" spans="2:17" ht="12.75">
      <c r="B6" t="s">
        <v>7</v>
      </c>
      <c r="C6">
        <v>0.5</v>
      </c>
      <c r="E6" s="4"/>
      <c r="F6" s="7">
        <f t="shared" si="0"/>
        <v>43</v>
      </c>
      <c r="G6" s="5">
        <v>3</v>
      </c>
      <c r="H6" s="3">
        <v>0.1743593282787604</v>
      </c>
      <c r="I6" s="3">
        <f t="shared" si="1"/>
        <v>1.2564378150672013</v>
      </c>
      <c r="J6" s="3">
        <f aca="true" t="shared" si="4" ref="J6:J19">C$10*H6^C$11</f>
        <v>21.406908144143042</v>
      </c>
      <c r="K6" s="3">
        <f aca="true" t="shared" si="5" ref="K6:K19">J6*500</f>
        <v>10703.454072071521</v>
      </c>
      <c r="L6" s="3">
        <f aca="true" t="shared" si="6" ref="L6:L19">K6*G$27</f>
        <v>1328.7659369461987</v>
      </c>
      <c r="M6" s="8">
        <f aca="true" t="shared" si="7" ref="M6:M19">(9810*C$9*F6)/(G$29*1000)</f>
        <v>19.469076923076923</v>
      </c>
      <c r="N6" s="2">
        <f aca="true" t="shared" si="8" ref="N6:N19">G$30*M6</f>
        <v>38938.153846153844</v>
      </c>
      <c r="O6">
        <f t="shared" si="2"/>
        <v>2310.2006676923074</v>
      </c>
      <c r="Q6" s="3">
        <f t="shared" si="3"/>
        <v>3638.9666046385064</v>
      </c>
    </row>
    <row r="7" spans="2:17" ht="12.75">
      <c r="B7" t="s">
        <v>8</v>
      </c>
      <c r="C7">
        <v>500</v>
      </c>
      <c r="D7" t="s">
        <v>9</v>
      </c>
      <c r="E7" s="4"/>
      <c r="F7" s="7">
        <f t="shared" si="0"/>
        <v>44</v>
      </c>
      <c r="G7" s="5">
        <v>4</v>
      </c>
      <c r="H7" s="3">
        <v>0.16461046430574575</v>
      </c>
      <c r="I7" s="3">
        <f t="shared" si="1"/>
        <v>1.4096668715478269</v>
      </c>
      <c r="J7" s="3">
        <f t="shared" si="4"/>
        <v>19.35988841098634</v>
      </c>
      <c r="K7" s="3">
        <f t="shared" si="5"/>
        <v>9679.94420549317</v>
      </c>
      <c r="L7" s="3">
        <f t="shared" si="6"/>
        <v>1201.703678568661</v>
      </c>
      <c r="M7" s="8">
        <f t="shared" si="7"/>
        <v>19.921846153846154</v>
      </c>
      <c r="N7" s="2">
        <f t="shared" si="8"/>
        <v>39843.692307692305</v>
      </c>
      <c r="O7">
        <f t="shared" si="2"/>
        <v>2363.9262646153843</v>
      </c>
      <c r="Q7" s="3">
        <f t="shared" si="3"/>
        <v>3565.6299431840453</v>
      </c>
    </row>
    <row r="8" spans="2:17" ht="12.75">
      <c r="B8" t="s">
        <v>10</v>
      </c>
      <c r="C8">
        <v>30</v>
      </c>
      <c r="D8" t="s">
        <v>11</v>
      </c>
      <c r="E8" s="4"/>
      <c r="F8" s="7">
        <f t="shared" si="0"/>
        <v>45</v>
      </c>
      <c r="G8" s="5">
        <v>5</v>
      </c>
      <c r="H8" s="3">
        <v>0.15742562903039858</v>
      </c>
      <c r="I8" s="3">
        <f t="shared" si="1"/>
        <v>1.5412762942446647</v>
      </c>
      <c r="J8" s="3">
        <f t="shared" si="4"/>
        <v>17.907890467836754</v>
      </c>
      <c r="K8" s="3">
        <f t="shared" si="5"/>
        <v>8953.945233918377</v>
      </c>
      <c r="L8" s="3">
        <f t="shared" si="6"/>
        <v>1111.575510858417</v>
      </c>
      <c r="M8" s="8">
        <f t="shared" si="7"/>
        <v>20.374615384615385</v>
      </c>
      <c r="N8" s="2">
        <f t="shared" si="8"/>
        <v>40749.23076923077</v>
      </c>
      <c r="O8">
        <f t="shared" si="2"/>
        <v>2417.6518615384616</v>
      </c>
      <c r="Q8" s="3">
        <f t="shared" si="3"/>
        <v>3529.2273723968783</v>
      </c>
    </row>
    <row r="9" spans="3:17" ht="12.75">
      <c r="C9">
        <v>0.03</v>
      </c>
      <c r="D9" t="s">
        <v>12</v>
      </c>
      <c r="E9" s="4"/>
      <c r="F9" s="7">
        <f t="shared" si="0"/>
        <v>46</v>
      </c>
      <c r="G9" s="5">
        <v>6</v>
      </c>
      <c r="H9" s="3">
        <v>0.1517886114490087</v>
      </c>
      <c r="I9" s="3">
        <f t="shared" si="1"/>
        <v>1.6578796363753827</v>
      </c>
      <c r="J9" s="3">
        <f t="shared" si="4"/>
        <v>16.80273916182776</v>
      </c>
      <c r="K9" s="3">
        <f t="shared" si="5"/>
        <v>8401.369580913879</v>
      </c>
      <c r="L9" s="3">
        <f t="shared" si="6"/>
        <v>1042.9767482202851</v>
      </c>
      <c r="M9" s="8">
        <f t="shared" si="7"/>
        <v>20.827384615384616</v>
      </c>
      <c r="N9" s="2">
        <f t="shared" si="8"/>
        <v>41654.769230769234</v>
      </c>
      <c r="O9">
        <f t="shared" si="2"/>
        <v>2471.3774584615385</v>
      </c>
      <c r="Q9" s="3">
        <f t="shared" si="3"/>
        <v>3514.3542066818236</v>
      </c>
    </row>
    <row r="10" spans="2:17" ht="12.75">
      <c r="B10" t="s">
        <v>3</v>
      </c>
      <c r="C10">
        <v>452.55706373882975</v>
      </c>
      <c r="E10" s="4"/>
      <c r="F10" s="7">
        <f t="shared" si="0"/>
        <v>47</v>
      </c>
      <c r="G10" s="5">
        <v>7</v>
      </c>
      <c r="H10" s="3">
        <v>0.1471803495956953</v>
      </c>
      <c r="I10" s="3">
        <f t="shared" si="1"/>
        <v>1.7633223533279294</v>
      </c>
      <c r="J10" s="3">
        <f t="shared" si="4"/>
        <v>15.921728584456995</v>
      </c>
      <c r="K10" s="3">
        <f t="shared" si="5"/>
        <v>7960.864292228497</v>
      </c>
      <c r="L10" s="3">
        <f t="shared" si="6"/>
        <v>988.2908105119071</v>
      </c>
      <c r="M10" s="8">
        <f t="shared" si="7"/>
        <v>21.280153846153848</v>
      </c>
      <c r="N10" s="2">
        <f t="shared" si="8"/>
        <v>42560.307692307695</v>
      </c>
      <c r="O10">
        <f t="shared" si="2"/>
        <v>2525.103055384616</v>
      </c>
      <c r="Q10" s="3">
        <f t="shared" si="3"/>
        <v>3513.393865896523</v>
      </c>
    </row>
    <row r="11" spans="2:17" ht="12.75">
      <c r="B11" t="s">
        <v>4</v>
      </c>
      <c r="C11">
        <v>1.7469</v>
      </c>
      <c r="E11" s="4"/>
      <c r="F11" s="7">
        <f t="shared" si="0"/>
        <v>48</v>
      </c>
      <c r="G11" s="5">
        <v>8</v>
      </c>
      <c r="H11" s="3">
        <v>0.14330173242580352</v>
      </c>
      <c r="I11" s="3">
        <f t="shared" si="1"/>
        <v>1.8600665885618344</v>
      </c>
      <c r="J11" s="3">
        <f t="shared" si="4"/>
        <v>15.19598967686036</v>
      </c>
      <c r="K11" s="3">
        <f t="shared" si="5"/>
        <v>7597.994838430181</v>
      </c>
      <c r="L11" s="3">
        <f t="shared" si="6"/>
        <v>943.2428693035083</v>
      </c>
      <c r="M11" s="8">
        <f t="shared" si="7"/>
        <v>21.73292307692308</v>
      </c>
      <c r="N11" s="2">
        <f t="shared" si="8"/>
        <v>43465.846153846156</v>
      </c>
      <c r="O11">
        <f t="shared" si="2"/>
        <v>2578.8286523076927</v>
      </c>
      <c r="Q11" s="3">
        <f t="shared" si="3"/>
        <v>3522.071521611201</v>
      </c>
    </row>
    <row r="12" spans="5:17" ht="12.75">
      <c r="E12" s="4"/>
      <c r="F12" s="7">
        <f t="shared" si="0"/>
        <v>49</v>
      </c>
      <c r="G12" s="5">
        <v>9</v>
      </c>
      <c r="H12" s="3">
        <v>0.1399654794899569</v>
      </c>
      <c r="I12" s="3">
        <f t="shared" si="1"/>
        <v>1.949797462211921</v>
      </c>
      <c r="J12" s="3">
        <f t="shared" si="4"/>
        <v>14.583350758375374</v>
      </c>
      <c r="K12" s="3">
        <f t="shared" si="5"/>
        <v>7291.675379187687</v>
      </c>
      <c r="L12" s="3">
        <f t="shared" si="6"/>
        <v>905.2152512538117</v>
      </c>
      <c r="M12" s="8">
        <f t="shared" si="7"/>
        <v>22.18569230769231</v>
      </c>
      <c r="N12" s="2">
        <f t="shared" si="8"/>
        <v>44371.38461538462</v>
      </c>
      <c r="O12">
        <f t="shared" si="2"/>
        <v>2632.5542492307695</v>
      </c>
      <c r="Q12" s="3">
        <f t="shared" si="3"/>
        <v>3537.7695004845814</v>
      </c>
    </row>
    <row r="13" spans="5:17" ht="12.75">
      <c r="E13" s="4"/>
      <c r="F13" s="7">
        <f t="shared" si="0"/>
        <v>50</v>
      </c>
      <c r="G13" s="5">
        <v>10</v>
      </c>
      <c r="H13" s="3">
        <v>0.13704697002966018</v>
      </c>
      <c r="I13" s="3">
        <f t="shared" si="1"/>
        <v>2.0337262629425656</v>
      </c>
      <c r="J13" s="3">
        <f t="shared" si="4"/>
        <v>14.05628549641671</v>
      </c>
      <c r="K13" s="3">
        <f t="shared" si="5"/>
        <v>7028.1427482083545</v>
      </c>
      <c r="L13" s="3">
        <f t="shared" si="6"/>
        <v>872.4993465597508</v>
      </c>
      <c r="M13" s="8">
        <f t="shared" si="7"/>
        <v>22.638461538461538</v>
      </c>
      <c r="N13" s="2">
        <f t="shared" si="8"/>
        <v>45276.92307692308</v>
      </c>
      <c r="O13">
        <f t="shared" si="2"/>
        <v>2686.2798461538464</v>
      </c>
      <c r="Q13" s="3">
        <f t="shared" si="3"/>
        <v>3558.7791927135972</v>
      </c>
    </row>
    <row r="14" spans="2:17" ht="15.75">
      <c r="B14" t="s">
        <v>13</v>
      </c>
      <c r="C14" t="s">
        <v>25</v>
      </c>
      <c r="D14">
        <f>1.6465/(C4^0.2)</f>
        <v>3.9243981705679936</v>
      </c>
      <c r="E14" s="4"/>
      <c r="F14" s="7">
        <v>51</v>
      </c>
      <c r="G14" s="5">
        <v>11</v>
      </c>
      <c r="H14" s="3">
        <v>0.1344593170793426</v>
      </c>
      <c r="I14" s="3">
        <f aca="true" t="shared" si="9" ref="I14:I19">C$9/(PI()*(H14^2)/4)</f>
        <v>2.112757106016952</v>
      </c>
      <c r="J14" s="3">
        <f t="shared" si="4"/>
        <v>13.59592603225618</v>
      </c>
      <c r="K14" s="3">
        <f t="shared" si="5"/>
        <v>6797.96301612809</v>
      </c>
      <c r="L14" s="3">
        <f t="shared" si="6"/>
        <v>843.9239927249805</v>
      </c>
      <c r="M14" s="8">
        <f t="shared" si="7"/>
        <v>23.09123076923077</v>
      </c>
      <c r="N14" s="2">
        <f t="shared" si="8"/>
        <v>46182.46153846154</v>
      </c>
      <c r="O14">
        <f t="shared" si="2"/>
        <v>2740.0054430769233</v>
      </c>
      <c r="Q14" s="3">
        <f t="shared" si="3"/>
        <v>3583.9294358019038</v>
      </c>
    </row>
    <row r="15" spans="2:17" ht="12.75">
      <c r="B15" t="s">
        <v>14</v>
      </c>
      <c r="C15" t="s">
        <v>16</v>
      </c>
      <c r="D15">
        <f>C11/(C6*C11+2+C5)</f>
        <v>0.5178378218144629</v>
      </c>
      <c r="E15" s="4"/>
      <c r="F15" s="7">
        <v>52</v>
      </c>
      <c r="G15" s="5">
        <v>12</v>
      </c>
      <c r="H15" s="3">
        <v>0.13213966119887105</v>
      </c>
      <c r="I15" s="3">
        <f t="shared" si="9"/>
        <v>2.187585295306607</v>
      </c>
      <c r="J15" s="3">
        <f t="shared" si="4"/>
        <v>13.18882864537663</v>
      </c>
      <c r="K15" s="3">
        <f t="shared" si="5"/>
        <v>6594.414322688314</v>
      </c>
      <c r="L15" s="3">
        <f t="shared" si="6"/>
        <v>818.6547134314475</v>
      </c>
      <c r="M15" s="8">
        <f t="shared" si="7"/>
        <v>23.544</v>
      </c>
      <c r="N15" s="2">
        <f t="shared" si="8"/>
        <v>47088</v>
      </c>
      <c r="O15">
        <f t="shared" si="2"/>
        <v>2793.73104</v>
      </c>
      <c r="Q15" s="3">
        <f t="shared" si="3"/>
        <v>3612.3857534314475</v>
      </c>
    </row>
    <row r="16" spans="2:17" ht="12.75">
      <c r="B16" t="s">
        <v>15</v>
      </c>
      <c r="C16" t="s">
        <v>17</v>
      </c>
      <c r="D16">
        <f>(C6*C11+2+C5)/(2+C5)</f>
        <v>1.34938</v>
      </c>
      <c r="E16" s="4"/>
      <c r="F16" s="7">
        <v>53</v>
      </c>
      <c r="G16" s="5">
        <v>13</v>
      </c>
      <c r="H16" s="3">
        <v>0.13004113989300478</v>
      </c>
      <c r="I16" s="3">
        <f t="shared" si="9"/>
        <v>2.2587586979541796</v>
      </c>
      <c r="J16" s="3">
        <f t="shared" si="4"/>
        <v>12.825108298063645</v>
      </c>
      <c r="K16" s="3">
        <f t="shared" si="5"/>
        <v>6412.554149031823</v>
      </c>
      <c r="L16" s="3">
        <f t="shared" si="6"/>
        <v>796.0779263106991</v>
      </c>
      <c r="M16" s="8">
        <f t="shared" si="7"/>
        <v>23.99676923076923</v>
      </c>
      <c r="N16" s="2">
        <f t="shared" si="8"/>
        <v>47993.53846153846</v>
      </c>
      <c r="O16">
        <f t="shared" si="2"/>
        <v>2847.456636923077</v>
      </c>
      <c r="Q16" s="3">
        <f t="shared" si="3"/>
        <v>3643.534563233776</v>
      </c>
    </row>
    <row r="17" spans="2:17" ht="12.75">
      <c r="B17" t="s">
        <v>22</v>
      </c>
      <c r="D17">
        <v>16</v>
      </c>
      <c r="E17" s="4"/>
      <c r="F17" s="7">
        <v>54</v>
      </c>
      <c r="G17" s="5">
        <v>14</v>
      </c>
      <c r="H17" s="3">
        <v>0.12812793624665297</v>
      </c>
      <c r="I17" s="3">
        <f t="shared" si="9"/>
        <v>2.3267177944588813</v>
      </c>
      <c r="J17" s="3">
        <f t="shared" si="4"/>
        <v>12.49730463683257</v>
      </c>
      <c r="K17" s="3">
        <f t="shared" si="5"/>
        <v>6248.652318416285</v>
      </c>
      <c r="L17" s="3">
        <f t="shared" si="6"/>
        <v>775.7305535786272</v>
      </c>
      <c r="M17" s="8">
        <f t="shared" si="7"/>
        <v>24.449538461538463</v>
      </c>
      <c r="N17" s="2">
        <f t="shared" si="8"/>
        <v>48899.07692307693</v>
      </c>
      <c r="O17">
        <f t="shared" si="2"/>
        <v>2901.1822338461543</v>
      </c>
      <c r="Q17" s="3">
        <f t="shared" si="3"/>
        <v>3676.9127874247815</v>
      </c>
    </row>
    <row r="18" spans="5:17" ht="12.75">
      <c r="E18" s="4"/>
      <c r="F18" s="7">
        <v>55</v>
      </c>
      <c r="G18" s="5">
        <v>15</v>
      </c>
      <c r="H18" s="3">
        <v>0.12637209530894888</v>
      </c>
      <c r="I18" s="3">
        <f t="shared" si="9"/>
        <v>2.39182279540425</v>
      </c>
      <c r="J18" s="3">
        <f t="shared" si="4"/>
        <v>12.199662196732644</v>
      </c>
      <c r="K18" s="3">
        <f t="shared" si="5"/>
        <v>6099.831098366322</v>
      </c>
      <c r="L18" s="3">
        <f t="shared" si="6"/>
        <v>757.2553430002822</v>
      </c>
      <c r="M18" s="8">
        <f t="shared" si="7"/>
        <v>24.90230769230769</v>
      </c>
      <c r="N18" s="2">
        <f t="shared" si="8"/>
        <v>49804.61538461538</v>
      </c>
      <c r="O18">
        <f t="shared" si="2"/>
        <v>2954.9078307692307</v>
      </c>
      <c r="Q18" s="3">
        <f t="shared" si="3"/>
        <v>3712.163173769513</v>
      </c>
    </row>
    <row r="19" spans="2:17" ht="15.75">
      <c r="B19" t="s">
        <v>18</v>
      </c>
      <c r="C19" t="s">
        <v>24</v>
      </c>
      <c r="D19">
        <f>((C10/(D14^C11))^(1/D16))*C7*(C9^D15)</f>
        <v>1287.477692405928</v>
      </c>
      <c r="E19" s="4"/>
      <c r="F19" s="7">
        <v>56</v>
      </c>
      <c r="G19" s="5">
        <v>16</v>
      </c>
      <c r="H19" s="3">
        <v>0.12475140388459369</v>
      </c>
      <c r="I19" s="3">
        <f t="shared" si="9"/>
        <v>2.4543725781716916</v>
      </c>
      <c r="J19" s="3">
        <f t="shared" si="4"/>
        <v>11.927656676378616</v>
      </c>
      <c r="K19" s="3">
        <f t="shared" si="5"/>
        <v>5963.828338189308</v>
      </c>
      <c r="L19" s="3">
        <f t="shared" si="6"/>
        <v>740.3714629147479</v>
      </c>
      <c r="M19" s="8">
        <f t="shared" si="7"/>
        <v>25.355076923076922</v>
      </c>
      <c r="N19" s="2">
        <f t="shared" si="8"/>
        <v>50710.153846153844</v>
      </c>
      <c r="O19">
        <f t="shared" si="2"/>
        <v>3008.6334276923076</v>
      </c>
      <c r="Q19" s="3">
        <f t="shared" si="3"/>
        <v>3749.0048906070556</v>
      </c>
    </row>
    <row r="20" ht="12.75">
      <c r="E20" s="4"/>
    </row>
    <row r="21" spans="2:5" ht="15.75">
      <c r="B21" t="s">
        <v>21</v>
      </c>
      <c r="C21" t="s">
        <v>23</v>
      </c>
      <c r="D21">
        <f>(1/D14)*((C9*((C7/D17)^C6))^(1/(C5+2)))</f>
        <v>0.12475140388459369</v>
      </c>
      <c r="E21" s="4"/>
    </row>
    <row r="22" ht="12.75">
      <c r="E22" s="4"/>
    </row>
    <row r="23" ht="12.75">
      <c r="E23" s="4"/>
    </row>
    <row r="24" ht="12.75">
      <c r="E24" s="4"/>
    </row>
    <row r="25" spans="5:7" ht="12.75">
      <c r="E25" s="4"/>
      <c r="F25" t="s">
        <v>35</v>
      </c>
      <c r="G25">
        <v>30</v>
      </c>
    </row>
    <row r="26" spans="5:7" ht="12.75">
      <c r="E26" s="4"/>
      <c r="F26" t="s">
        <v>37</v>
      </c>
      <c r="G26">
        <f>12/100</f>
        <v>0.12</v>
      </c>
    </row>
    <row r="27" spans="5:7" ht="12.75">
      <c r="E27" s="4"/>
      <c r="F27" t="s">
        <v>36</v>
      </c>
      <c r="G27">
        <f>G26/(1-((1+G26)^-G25))</f>
        <v>0.12414365755194319</v>
      </c>
    </row>
    <row r="28" spans="5:7" ht="12.75">
      <c r="E28" s="4"/>
      <c r="F28" t="s">
        <v>41</v>
      </c>
      <c r="G28">
        <v>0.05933</v>
      </c>
    </row>
    <row r="29" spans="5:7" ht="12.75">
      <c r="E29" s="4"/>
      <c r="F29" t="s">
        <v>42</v>
      </c>
      <c r="G29">
        <v>0.65</v>
      </c>
    </row>
    <row r="30" spans="5:7" ht="12.75">
      <c r="E30" s="4"/>
      <c r="F30" t="s">
        <v>3</v>
      </c>
      <c r="G30">
        <v>2000</v>
      </c>
    </row>
    <row r="31" ht="12.75">
      <c r="E31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18"/>
  <sheetViews>
    <sheetView workbookViewId="0" topLeftCell="A1">
      <selection activeCell="E17" sqref="E17"/>
    </sheetView>
  </sheetViews>
  <sheetFormatPr defaultColWidth="9.140625" defaultRowHeight="12.75"/>
  <sheetData>
    <row r="2" spans="3:4" ht="12.75">
      <c r="C2" t="s">
        <v>45</v>
      </c>
      <c r="D2" t="s">
        <v>44</v>
      </c>
    </row>
    <row r="3" spans="3:5" ht="12.75">
      <c r="C3">
        <v>0.217</v>
      </c>
      <c r="D3">
        <v>225</v>
      </c>
      <c r="E3">
        <v>203.4</v>
      </c>
    </row>
    <row r="4" spans="4:5" ht="12.75">
      <c r="D4" s="6">
        <v>280</v>
      </c>
      <c r="E4" s="6">
        <v>253.2</v>
      </c>
    </row>
    <row r="10" spans="4:5" ht="12.75">
      <c r="D10" t="s">
        <v>51</v>
      </c>
      <c r="E10">
        <v>0.03</v>
      </c>
    </row>
    <row r="11" spans="4:10" ht="12.75">
      <c r="D11" t="s">
        <v>49</v>
      </c>
      <c r="E11">
        <v>253.2</v>
      </c>
      <c r="G11" t="s">
        <v>52</v>
      </c>
      <c r="I11">
        <f>41-E18</f>
        <v>40.3546236434219</v>
      </c>
      <c r="J11" t="s">
        <v>54</v>
      </c>
    </row>
    <row r="12" spans="4:5" ht="12.75">
      <c r="D12" t="s">
        <v>50</v>
      </c>
      <c r="E12">
        <v>500</v>
      </c>
    </row>
    <row r="13" spans="7:10" ht="12.75">
      <c r="G13" t="s">
        <v>53</v>
      </c>
      <c r="J13">
        <f>500*42.2</f>
        <v>21100</v>
      </c>
    </row>
    <row r="15" spans="4:5" ht="12.75">
      <c r="D15" t="s">
        <v>46</v>
      </c>
      <c r="E15">
        <f>(E10)/(PI()*((E11/1000)^2)/4)</f>
        <v>0.5958047628905286</v>
      </c>
    </row>
    <row r="16" spans="4:5" ht="12.75">
      <c r="D16" t="s">
        <v>47</v>
      </c>
      <c r="E16">
        <f>(E15*(E11/1000))/(1.31*10^-6)</f>
        <v>115158.59997242888</v>
      </c>
    </row>
    <row r="17" spans="4:5" ht="12.75">
      <c r="D17" t="s">
        <v>5</v>
      </c>
      <c r="E17">
        <f>(1/(-2*LOG(((0.03/(3.7*E11))+(6/(E16^0.90458))))))^2</f>
        <v>0.01806332973043716</v>
      </c>
    </row>
    <row r="18" spans="4:5" ht="12.75">
      <c r="D18" t="s">
        <v>48</v>
      </c>
      <c r="E18">
        <f>E17*(E12/(E11/1000))*((E15^2)/(2*9.81))</f>
        <v>0.6453763565780973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2013-04-16T10:05:19Z</dcterms:created>
  <dcterms:modified xsi:type="dcterms:W3CDTF">2016-06-16T15:01:32Z</dcterms:modified>
  <cp:category/>
  <cp:version/>
  <cp:contentType/>
  <cp:contentStatus/>
</cp:coreProperties>
</file>